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0" windowWidth="15315" windowHeight="8805" tabRatio="730" firstSheet="8" activeTab="10"/>
  </bookViews>
  <sheets>
    <sheet name="Graus 2013 juny" sheetId="1" r:id="rId1"/>
    <sheet name="Graus 2014 febrer" sheetId="2" r:id="rId2"/>
    <sheet name="Graus 2014 juliol" sheetId="4" r:id="rId3"/>
    <sheet name="Graus 2015 gener" sheetId="3" r:id="rId4"/>
    <sheet name="Graus 2015 juliol" sheetId="5" r:id="rId5"/>
    <sheet name="Graus 2016 febrer" sheetId="7" r:id="rId6"/>
    <sheet name="Graus juliol 2016" sheetId="8" r:id="rId7"/>
    <sheet name="Graus febrer 2017" sheetId="9" r:id="rId8"/>
    <sheet name="Graus juliol 2017" sheetId="10" r:id="rId9"/>
    <sheet name="Graus febrer 2018" sheetId="13" r:id="rId10"/>
    <sheet name="Graus juliol 2018" sheetId="14" r:id="rId11"/>
    <sheet name="Historic FI - Q1 i Q2" sheetId="6" r:id="rId12"/>
    <sheet name="Historic Fi - Q1" sheetId="11" r:id="rId13"/>
    <sheet name="Historic FI -Q2" sheetId="12" r:id="rId14"/>
    <sheet name="Hoja1" sheetId="15" r:id="rId15"/>
    <sheet name="Hoja2" sheetId="16" r:id="rId16"/>
  </sheets>
  <definedNames>
    <definedName name="_xlnm.Print_Area" localSheetId="0">'Graus 2013 juny'!$A$1:$S$13</definedName>
    <definedName name="_xlnm.Print_Area" localSheetId="3">'Graus 2015 gener'!$A$1:$S$16</definedName>
    <definedName name="_xlnm.Print_Area" localSheetId="5">'Graus 2016 febrer'!$A$1:$O$13</definedName>
    <definedName name="_xlnm.Print_Area" localSheetId="7">'Graus febrer 2017'!$A$1:$O$12</definedName>
    <definedName name="_xlnm.Print_Area" localSheetId="9">'Graus febrer 2018'!$A$1:$O$12</definedName>
    <definedName name="_xlnm.Print_Area" localSheetId="6">'Graus juliol 2016'!$A$1:$O$13</definedName>
    <definedName name="_xlnm.Print_Area" localSheetId="8">'Graus juliol 2017'!$A$1:$O$12</definedName>
    <definedName name="_xlnm.Print_Area" localSheetId="10">'Graus juliol 2018'!$A$1:$O$12</definedName>
    <definedName name="_xlnm.Print_Area" localSheetId="12">'Historic Fi - Q1'!$A$1:$F$38</definedName>
    <definedName name="_xlnm.Print_Area" localSheetId="11">'Historic FI - Q1 i Q2'!$A$1:$L$44</definedName>
    <definedName name="_xlnm.Print_Area" localSheetId="13">'Historic FI -Q2'!$A$1:$G$39</definedName>
  </definedNames>
  <calcPr calcId="162913"/>
</workbook>
</file>

<file path=xl/calcChain.xml><?xml version="1.0" encoding="utf-8"?>
<calcChain xmlns="http://schemas.openxmlformats.org/spreadsheetml/2006/main">
  <c r="J25" i="15"/>
  <c r="F25"/>
  <c r="E25"/>
  <c r="D25"/>
  <c r="C25"/>
  <c r="B25"/>
  <c r="K24"/>
  <c r="H24"/>
  <c r="H23"/>
  <c r="F6"/>
  <c r="E6"/>
  <c r="D6"/>
  <c r="C6"/>
  <c r="B6"/>
  <c r="K11" i="14" l="1"/>
  <c r="J11"/>
  <c r="K10"/>
  <c r="J10"/>
  <c r="K9"/>
  <c r="J9"/>
  <c r="G11"/>
  <c r="D11"/>
  <c r="G6"/>
  <c r="D6"/>
  <c r="C6" s="1"/>
  <c r="G4"/>
  <c r="D4"/>
  <c r="G3"/>
  <c r="D3"/>
  <c r="F25" i="11"/>
  <c r="G24" i="12"/>
  <c r="L24" i="6"/>
  <c r="L23"/>
  <c r="I12" i="14"/>
  <c r="C12"/>
  <c r="B12" s="1"/>
  <c r="C11"/>
  <c r="I9"/>
  <c r="I8"/>
  <c r="H7"/>
  <c r="F7"/>
  <c r="E7"/>
  <c r="C5"/>
  <c r="G5" i="12" l="1"/>
  <c r="K5" i="15"/>
  <c r="L5" i="6"/>
  <c r="G7" i="14"/>
  <c r="G23" i="12"/>
  <c r="K23" i="15"/>
  <c r="I11" i="14"/>
  <c r="I10"/>
  <c r="C4"/>
  <c r="B4" s="1"/>
  <c r="D7"/>
  <c r="K22" i="15" s="1"/>
  <c r="K25" s="1"/>
  <c r="B5" i="14"/>
  <c r="B6"/>
  <c r="B11"/>
  <c r="K4" i="15" s="1"/>
  <c r="C3" i="14"/>
  <c r="K25" i="6"/>
  <c r="F6" i="11"/>
  <c r="G12" i="13"/>
  <c r="D12"/>
  <c r="G11"/>
  <c r="D11"/>
  <c r="G6"/>
  <c r="D6"/>
  <c r="G5"/>
  <c r="D5"/>
  <c r="G4"/>
  <c r="D4"/>
  <c r="G3"/>
  <c r="D3"/>
  <c r="I12"/>
  <c r="I11"/>
  <c r="I10"/>
  <c r="I9"/>
  <c r="I8"/>
  <c r="H7"/>
  <c r="F7"/>
  <c r="E7"/>
  <c r="K12" i="10"/>
  <c r="J12"/>
  <c r="I12" s="1"/>
  <c r="K11"/>
  <c r="J11"/>
  <c r="I11"/>
  <c r="K10"/>
  <c r="J10"/>
  <c r="K9"/>
  <c r="J9"/>
  <c r="I9" s="1"/>
  <c r="K8"/>
  <c r="J8"/>
  <c r="I8" s="1"/>
  <c r="G12"/>
  <c r="D12"/>
  <c r="I24" i="15" s="1"/>
  <c r="G11" i="10"/>
  <c r="D11"/>
  <c r="G6"/>
  <c r="D6"/>
  <c r="G5"/>
  <c r="D5"/>
  <c r="H4"/>
  <c r="H7"/>
  <c r="G4"/>
  <c r="D4"/>
  <c r="G3"/>
  <c r="D3"/>
  <c r="D25" i="12"/>
  <c r="C25"/>
  <c r="B25"/>
  <c r="D6"/>
  <c r="C6"/>
  <c r="B6"/>
  <c r="D25" i="11"/>
  <c r="C25"/>
  <c r="B25"/>
  <c r="E24"/>
  <c r="E23"/>
  <c r="D6"/>
  <c r="C6"/>
  <c r="B6"/>
  <c r="C3" i="9"/>
  <c r="E7"/>
  <c r="F7"/>
  <c r="G7"/>
  <c r="H7"/>
  <c r="J24" i="6"/>
  <c r="I24"/>
  <c r="I23"/>
  <c r="I13" i="10"/>
  <c r="C13"/>
  <c r="I10"/>
  <c r="F7"/>
  <c r="E7"/>
  <c r="I13" i="9"/>
  <c r="C13"/>
  <c r="B13" s="1"/>
  <c r="I12"/>
  <c r="C12"/>
  <c r="B12" s="1"/>
  <c r="H5" i="15" s="1"/>
  <c r="I11" i="9"/>
  <c r="C11"/>
  <c r="B11" s="1"/>
  <c r="I10"/>
  <c r="I9"/>
  <c r="I8"/>
  <c r="C6"/>
  <c r="B6" s="1"/>
  <c r="C5"/>
  <c r="D7"/>
  <c r="H22" i="15" s="1"/>
  <c r="H25" s="1"/>
  <c r="E22" i="11"/>
  <c r="E25" s="1"/>
  <c r="B3" i="9"/>
  <c r="D6" i="8"/>
  <c r="G6"/>
  <c r="C6" s="1"/>
  <c r="B6" s="1"/>
  <c r="J12"/>
  <c r="I12"/>
  <c r="L10"/>
  <c r="J10"/>
  <c r="I10" s="1"/>
  <c r="J9"/>
  <c r="J8"/>
  <c r="J13"/>
  <c r="I13" s="1"/>
  <c r="G12"/>
  <c r="D12"/>
  <c r="C12" s="1"/>
  <c r="H24" i="6"/>
  <c r="G11" i="8"/>
  <c r="D11"/>
  <c r="E7"/>
  <c r="F7"/>
  <c r="H7"/>
  <c r="G5"/>
  <c r="D5"/>
  <c r="C5" s="1"/>
  <c r="B5" s="1"/>
  <c r="G4"/>
  <c r="D4"/>
  <c r="C4" s="1"/>
  <c r="B4" s="1"/>
  <c r="G3"/>
  <c r="G7"/>
  <c r="D3"/>
  <c r="D7"/>
  <c r="J12" i="7"/>
  <c r="I12"/>
  <c r="J11"/>
  <c r="I11"/>
  <c r="J8"/>
  <c r="I8"/>
  <c r="J10"/>
  <c r="I10"/>
  <c r="G25" i="6"/>
  <c r="G6"/>
  <c r="C12" i="7"/>
  <c r="B12"/>
  <c r="G11"/>
  <c r="D11"/>
  <c r="E7"/>
  <c r="F7"/>
  <c r="H7"/>
  <c r="D6"/>
  <c r="C6" s="1"/>
  <c r="B6" s="1"/>
  <c r="D5"/>
  <c r="G4"/>
  <c r="G7" s="1"/>
  <c r="D4"/>
  <c r="D7" s="1"/>
  <c r="I8" i="8"/>
  <c r="I13" i="7"/>
  <c r="I9"/>
  <c r="C13" i="8"/>
  <c r="I11"/>
  <c r="I9"/>
  <c r="C13" i="7"/>
  <c r="B13" s="1"/>
  <c r="C11"/>
  <c r="C5"/>
  <c r="B5" s="1"/>
  <c r="C3"/>
  <c r="B3"/>
  <c r="C6" i="6"/>
  <c r="D6"/>
  <c r="E6"/>
  <c r="F6"/>
  <c r="B6"/>
  <c r="C25"/>
  <c r="D25"/>
  <c r="E25"/>
  <c r="F25"/>
  <c r="B25"/>
  <c r="B12" i="3"/>
  <c r="B4"/>
  <c r="D7"/>
  <c r="E7"/>
  <c r="F7"/>
  <c r="G7"/>
  <c r="H7"/>
  <c r="C12" i="2"/>
  <c r="B12" s="1"/>
  <c r="C13"/>
  <c r="B13" s="1"/>
  <c r="C11"/>
  <c r="B11" s="1"/>
  <c r="C4"/>
  <c r="B4" s="1"/>
  <c r="C5"/>
  <c r="B5" s="1"/>
  <c r="C6"/>
  <c r="B6" s="1"/>
  <c r="C3"/>
  <c r="B3" s="1"/>
  <c r="E7"/>
  <c r="F7"/>
  <c r="G7"/>
  <c r="H7"/>
  <c r="D7"/>
  <c r="C7" s="1"/>
  <c r="F7" i="5"/>
  <c r="G7"/>
  <c r="H7"/>
  <c r="E7"/>
  <c r="D7"/>
  <c r="D7" i="4"/>
  <c r="E7"/>
  <c r="F7"/>
  <c r="G7"/>
  <c r="H7"/>
  <c r="M9" i="1"/>
  <c r="M10"/>
  <c r="M11"/>
  <c r="M8"/>
  <c r="I9"/>
  <c r="I10"/>
  <c r="I11"/>
  <c r="I12"/>
  <c r="I13"/>
  <c r="I8"/>
  <c r="I3"/>
  <c r="C12"/>
  <c r="B12"/>
  <c r="C13"/>
  <c r="B13" s="1"/>
  <c r="C11"/>
  <c r="B11" s="1"/>
  <c r="C4"/>
  <c r="B4" s="1"/>
  <c r="C5"/>
  <c r="B5"/>
  <c r="C6"/>
  <c r="B6" s="1"/>
  <c r="F7"/>
  <c r="G7"/>
  <c r="H7"/>
  <c r="E7"/>
  <c r="D7"/>
  <c r="C7" s="1"/>
  <c r="B7" s="1"/>
  <c r="I3" i="5"/>
  <c r="M10"/>
  <c r="M9"/>
  <c r="M8"/>
  <c r="C12"/>
  <c r="B12" s="1"/>
  <c r="M13"/>
  <c r="M12"/>
  <c r="I13"/>
  <c r="I12"/>
  <c r="I10"/>
  <c r="C4"/>
  <c r="B4" s="1"/>
  <c r="C13"/>
  <c r="B13" s="1"/>
  <c r="M11"/>
  <c r="I11"/>
  <c r="C11"/>
  <c r="B11" s="1"/>
  <c r="I9"/>
  <c r="I8"/>
  <c r="C6"/>
  <c r="B6" s="1"/>
  <c r="C5"/>
  <c r="B5" s="1"/>
  <c r="C3"/>
  <c r="M14" i="4"/>
  <c r="I14"/>
  <c r="C14"/>
  <c r="M9"/>
  <c r="M10"/>
  <c r="M11"/>
  <c r="M13"/>
  <c r="M12"/>
  <c r="M8"/>
  <c r="C4"/>
  <c r="C5"/>
  <c r="B5" s="1"/>
  <c r="C6"/>
  <c r="B6" s="1"/>
  <c r="C12"/>
  <c r="B12" s="1"/>
  <c r="I9"/>
  <c r="I10"/>
  <c r="I11"/>
  <c r="I13"/>
  <c r="I12"/>
  <c r="C13"/>
  <c r="C11"/>
  <c r="B11" s="1"/>
  <c r="I8"/>
  <c r="I3"/>
  <c r="C3"/>
  <c r="C7" s="1"/>
  <c r="B7" s="1"/>
  <c r="M11" i="3"/>
  <c r="I8"/>
  <c r="I9"/>
  <c r="I11"/>
  <c r="I3"/>
  <c r="C11"/>
  <c r="B11" s="1"/>
  <c r="C13"/>
  <c r="C5"/>
  <c r="B5" s="1"/>
  <c r="C6"/>
  <c r="B6" s="1"/>
  <c r="C3"/>
  <c r="B3" s="1"/>
  <c r="C3" i="1"/>
  <c r="B3" s="1"/>
  <c r="B4" i="4"/>
  <c r="B3" i="5"/>
  <c r="C7" i="3"/>
  <c r="B7" s="1"/>
  <c r="B3" i="4"/>
  <c r="C5" i="10"/>
  <c r="B5" s="1"/>
  <c r="C4" i="9"/>
  <c r="B4" s="1"/>
  <c r="B5"/>
  <c r="I22" i="6"/>
  <c r="I25" s="1"/>
  <c r="D7" i="10"/>
  <c r="C4"/>
  <c r="C7" i="5"/>
  <c r="B7" s="1"/>
  <c r="J23" i="6"/>
  <c r="C4" i="7"/>
  <c r="C7" s="1"/>
  <c r="C3" i="8"/>
  <c r="B3" s="1"/>
  <c r="B4" i="7"/>
  <c r="H4" i="15" l="1"/>
  <c r="I4" i="6"/>
  <c r="E4" i="11"/>
  <c r="B11" i="7"/>
  <c r="E22" i="12"/>
  <c r="G22" i="15"/>
  <c r="B12" i="8"/>
  <c r="B4" i="10"/>
  <c r="I23" i="15"/>
  <c r="B7" i="7"/>
  <c r="J22" i="6"/>
  <c r="I22" i="15"/>
  <c r="I25" s="1"/>
  <c r="E23" i="12"/>
  <c r="G23" i="15"/>
  <c r="E24" i="12"/>
  <c r="G24" i="15"/>
  <c r="C7" i="9"/>
  <c r="B7" s="1"/>
  <c r="H3" i="15" s="1"/>
  <c r="H6" s="1"/>
  <c r="C3" i="10"/>
  <c r="C6"/>
  <c r="B6" s="1"/>
  <c r="C11"/>
  <c r="B11" s="1"/>
  <c r="F24" i="12"/>
  <c r="C12" i="10"/>
  <c r="B12" s="1"/>
  <c r="I5" i="15" s="1"/>
  <c r="G4" i="12"/>
  <c r="L4" i="6"/>
  <c r="G22" i="12"/>
  <c r="G25" s="1"/>
  <c r="L22" i="6"/>
  <c r="L25" s="1"/>
  <c r="C7" i="14"/>
  <c r="B7" s="1"/>
  <c r="K3" i="15" s="1"/>
  <c r="K6" s="1"/>
  <c r="B3" i="14"/>
  <c r="B3" i="10"/>
  <c r="C7"/>
  <c r="J5" i="6"/>
  <c r="F5" i="12"/>
  <c r="E3" i="11"/>
  <c r="I3" i="6"/>
  <c r="E25" i="12"/>
  <c r="C7" i="8"/>
  <c r="B7" s="1"/>
  <c r="G3" i="15" s="1"/>
  <c r="E5" i="11"/>
  <c r="I5" i="6"/>
  <c r="B7" i="2"/>
  <c r="F23" i="12"/>
  <c r="J25" i="6"/>
  <c r="C11" i="8"/>
  <c r="B11" s="1"/>
  <c r="G4" i="15" s="1"/>
  <c r="H22" i="6"/>
  <c r="H25" s="1"/>
  <c r="G7" i="10"/>
  <c r="F22" i="12"/>
  <c r="B7" i="10"/>
  <c r="I3" i="15" s="1"/>
  <c r="E6" i="11"/>
  <c r="H23" i="6"/>
  <c r="C11" i="13"/>
  <c r="B11" s="1"/>
  <c r="C12"/>
  <c r="B12" s="1"/>
  <c r="C6"/>
  <c r="B6" s="1"/>
  <c r="C5"/>
  <c r="B5" s="1"/>
  <c r="D7"/>
  <c r="G7"/>
  <c r="C4"/>
  <c r="B4" s="1"/>
  <c r="C3"/>
  <c r="B3" s="1"/>
  <c r="F25" i="12"/>
  <c r="I4" i="15" l="1"/>
  <c r="F4" i="12"/>
  <c r="J4" i="6"/>
  <c r="K4"/>
  <c r="J4" i="15"/>
  <c r="G25"/>
  <c r="K5" i="6"/>
  <c r="J5" i="15"/>
  <c r="I6"/>
  <c r="H5" i="6"/>
  <c r="G5" i="15"/>
  <c r="G6" s="1"/>
  <c r="E5" i="12"/>
  <c r="G3"/>
  <c r="G6" s="1"/>
  <c r="L3" i="6"/>
  <c r="L6" s="1"/>
  <c r="H4"/>
  <c r="E4" i="12"/>
  <c r="J3" i="6"/>
  <c r="J6" s="1"/>
  <c r="F3" i="12"/>
  <c r="F6" s="1"/>
  <c r="I6" i="6"/>
  <c r="E3" i="12"/>
  <c r="E6" s="1"/>
  <c r="H3" i="6"/>
  <c r="C7" i="13"/>
  <c r="B7" s="1"/>
  <c r="K3" i="6" l="1"/>
  <c r="K6" s="1"/>
  <c r="J3" i="15"/>
  <c r="J6" s="1"/>
  <c r="H6" i="6"/>
</calcChain>
</file>

<file path=xl/sharedStrings.xml><?xml version="1.0" encoding="utf-8"?>
<sst xmlns="http://schemas.openxmlformats.org/spreadsheetml/2006/main" count="469" uniqueCount="77">
  <si>
    <t>Fase inicial</t>
  </si>
  <si>
    <t>Fase intermedia</t>
  </si>
  <si>
    <t>Fase Final</t>
  </si>
  <si>
    <t>TFG</t>
  </si>
  <si>
    <t>Aptes</t>
  </si>
  <si>
    <t>No Aval</t>
  </si>
  <si>
    <t>Susp Ev</t>
  </si>
  <si>
    <t xml:space="preserve">   - Electricitat</t>
  </si>
  <si>
    <t xml:space="preserve">   - Electronica</t>
  </si>
  <si>
    <t xml:space="preserve">    - Mecanica</t>
  </si>
  <si>
    <t xml:space="preserve"> Grau Area Industrial</t>
  </si>
  <si>
    <t xml:space="preserve"> Grau Mecanica</t>
  </si>
  <si>
    <t xml:space="preserve"> Grau Electricitat</t>
  </si>
  <si>
    <t xml:space="preserve"> Grau Electronica</t>
  </si>
  <si>
    <t xml:space="preserve"> Grau Disseny</t>
  </si>
  <si>
    <t xml:space="preserve"> Grau Informatica</t>
  </si>
  <si>
    <t xml:space="preserve"> Grau S.E. (Telecos)</t>
  </si>
  <si>
    <t xml:space="preserve"> EPSEVG</t>
  </si>
  <si>
    <t>No Ap 12</t>
  </si>
  <si>
    <t>No Ap 42</t>
  </si>
  <si>
    <t>S. Ev / NA</t>
  </si>
  <si>
    <t xml:space="preserve"> GRAUS 2014 febr</t>
  </si>
  <si>
    <t xml:space="preserve"> GRAUS 2013 jun</t>
  </si>
  <si>
    <t xml:space="preserve"> GRAUS 2014 juliol</t>
  </si>
  <si>
    <t xml:space="preserve"> GRAUS 2015 gener</t>
  </si>
  <si>
    <t>Total Aval</t>
  </si>
  <si>
    <t xml:space="preserve">   - Mecànica</t>
  </si>
  <si>
    <t xml:space="preserve"> Segon Cicle Automàtica</t>
  </si>
  <si>
    <t xml:space="preserve"> GRAUS 2015 juliol</t>
  </si>
  <si>
    <t>Total aval.</t>
  </si>
  <si>
    <t xml:space="preserve"> Total Area Industrial</t>
  </si>
  <si>
    <t>% aptes</t>
  </si>
  <si>
    <t xml:space="preserve"> % Aptes</t>
  </si>
  <si>
    <t>-</t>
  </si>
  <si>
    <t>Informàtica</t>
  </si>
  <si>
    <t>Disseny</t>
  </si>
  <si>
    <t>Area-Industrial</t>
  </si>
  <si>
    <t>Nombre aptes</t>
  </si>
  <si>
    <t>Percentatge aptes</t>
  </si>
  <si>
    <t>Total aptes</t>
  </si>
  <si>
    <t>% promig</t>
  </si>
  <si>
    <t>EPSEVG FASE INICIAL</t>
  </si>
  <si>
    <t xml:space="preserve"> GRAUS 2016 gener</t>
  </si>
  <si>
    <t xml:space="preserve"> GRAUS 2016 juliol</t>
  </si>
  <si>
    <t>--</t>
  </si>
  <si>
    <t xml:space="preserve"> GRAUS 2017 febrer</t>
  </si>
  <si>
    <t xml:space="preserve"> GRAUS 2017 juliol</t>
  </si>
  <si>
    <t>% Aptes</t>
  </si>
  <si>
    <t>EPSEVG FASE INICIAL - Q1</t>
  </si>
  <si>
    <t>EPSEVG FASE INICIAL - Q1 i Q2</t>
  </si>
  <si>
    <t>EPSEVG FASE INICIAL - Q2</t>
  </si>
  <si>
    <t>Nombre total Aptes</t>
  </si>
  <si>
    <t>Percentatge Aptes</t>
  </si>
  <si>
    <t>2013/14-1</t>
  </si>
  <si>
    <t>2014/15-1</t>
  </si>
  <si>
    <t>2015/16-1</t>
  </si>
  <si>
    <t>2016/17-1</t>
  </si>
  <si>
    <t>2012/13-2</t>
  </si>
  <si>
    <t>2013/14-2</t>
  </si>
  <si>
    <t>2014/15-2</t>
  </si>
  <si>
    <t>2015/16-2</t>
  </si>
  <si>
    <t>2016/17-2</t>
  </si>
  <si>
    <t xml:space="preserve"> GRAUS 2018 febrer</t>
  </si>
  <si>
    <t>2017/18-1</t>
  </si>
  <si>
    <t>2017/18-2</t>
  </si>
  <si>
    <t>12/13-2</t>
  </si>
  <si>
    <t>13/14-1</t>
  </si>
  <si>
    <t>13/14-2</t>
  </si>
  <si>
    <t>14/15-1</t>
  </si>
  <si>
    <t>14/15-2</t>
  </si>
  <si>
    <t>15/16-1</t>
  </si>
  <si>
    <t>15/16-2</t>
  </si>
  <si>
    <t>16/17-1</t>
  </si>
  <si>
    <t>16/17-2</t>
  </si>
  <si>
    <t>17/18-1</t>
  </si>
  <si>
    <t>17/18-2</t>
  </si>
  <si>
    <t xml:space="preserve"> GRAUS 2018 juliol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</si>
</sst>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theme="0" tint="-0.249977111117893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Arial"/>
      <family val="2"/>
    </font>
    <font>
      <sz val="12"/>
      <color theme="0" tint="-0.499984740745262"/>
      <name val="Arial"/>
      <family val="2"/>
    </font>
    <font>
      <sz val="12"/>
      <color rgb="FF0000FF"/>
      <name val="Arial"/>
      <family val="2"/>
    </font>
    <font>
      <sz val="11"/>
      <color rgb="FF0000FF"/>
      <name val="Arial"/>
      <family val="2"/>
    </font>
    <font>
      <b/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quotePrefix="1" applyFont="1" applyBorder="1" applyAlignment="1">
      <alignment horizontal="left" vertical="center"/>
    </xf>
    <xf numFmtId="0" fontId="5" fillId="0" borderId="7" xfId="0" quotePrefix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/>
    <xf numFmtId="17" fontId="2" fillId="0" borderId="0" xfId="0" quotePrefix="1" applyNumberFormat="1" applyFont="1"/>
    <xf numFmtId="0" fontId="2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" fontId="5" fillId="0" borderId="0" xfId="0" quotePrefix="1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0" fontId="3" fillId="0" borderId="8" xfId="0" applyNumberFormat="1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12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13" xfId="0" applyFont="1" applyBorder="1"/>
    <xf numFmtId="0" fontId="5" fillId="0" borderId="14" xfId="0" quotePrefix="1" applyFont="1" applyBorder="1" applyAlignment="1">
      <alignment horizontal="center"/>
    </xf>
    <xf numFmtId="10" fontId="3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Alignment="1">
      <alignment horizontal="center"/>
    </xf>
    <xf numFmtId="10" fontId="8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12" xfId="0" applyFont="1" applyBorder="1"/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10" fontId="4" fillId="0" borderId="8" xfId="0" quotePrefix="1" applyNumberFormat="1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left" vertical="center"/>
    </xf>
    <xf numFmtId="10" fontId="4" fillId="0" borderId="5" xfId="0" quotePrefix="1" applyNumberFormat="1" applyFont="1" applyBorder="1" applyAlignment="1">
      <alignment horizontal="center" vertical="center"/>
    </xf>
    <xf numFmtId="10" fontId="4" fillId="0" borderId="15" xfId="0" applyNumberFormat="1" applyFont="1" applyBorder="1" applyAlignment="1">
      <alignment horizontal="center" vertical="center"/>
    </xf>
    <xf numFmtId="10" fontId="4" fillId="0" borderId="16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0" fontId="6" fillId="0" borderId="8" xfId="0" quotePrefix="1" applyNumberFormat="1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3" fillId="0" borderId="14" xfId="0" quotePrefix="1" applyFont="1" applyBorder="1" applyAlignment="1">
      <alignment horizontal="center"/>
    </xf>
    <xf numFmtId="0" fontId="13" fillId="0" borderId="0" xfId="0" applyFont="1" applyAlignment="1">
      <alignment horizontal="center"/>
    </xf>
    <xf numFmtId="10" fontId="3" fillId="0" borderId="0" xfId="0" applyNumberFormat="1" applyFont="1" applyBorder="1" applyAlignment="1">
      <alignment horizontal="center" vertical="center"/>
    </xf>
    <xf numFmtId="10" fontId="8" fillId="0" borderId="12" xfId="0" applyNumberFormat="1" applyFont="1" applyBorder="1" applyAlignment="1">
      <alignment horizontal="center" vertical="center"/>
    </xf>
    <xf numFmtId="10" fontId="13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10" fontId="6" fillId="0" borderId="5" xfId="0" applyNumberFormat="1" applyFont="1" applyBorder="1" applyAlignment="1">
      <alignment horizontal="center" vertical="top"/>
    </xf>
    <xf numFmtId="0" fontId="6" fillId="7" borderId="8" xfId="0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6" fillId="5" borderId="10" xfId="0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5" fillId="0" borderId="6" xfId="0" quotePrefix="1" applyFont="1" applyBorder="1" applyAlignment="1">
      <alignment horizontal="left" vertical="top"/>
    </xf>
    <xf numFmtId="0" fontId="6" fillId="2" borderId="10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5" fillId="0" borderId="7" xfId="0" quotePrefix="1" applyFont="1" applyBorder="1" applyAlignment="1">
      <alignment horizontal="left" vertical="top"/>
    </xf>
    <xf numFmtId="0" fontId="6" fillId="7" borderId="1" xfId="0" applyFont="1" applyFill="1" applyBorder="1" applyAlignment="1">
      <alignment horizontal="center" vertical="top"/>
    </xf>
    <xf numFmtId="0" fontId="6" fillId="7" borderId="2" xfId="0" applyFont="1" applyFill="1" applyBorder="1" applyAlignment="1">
      <alignment horizontal="center" vertical="top"/>
    </xf>
    <xf numFmtId="0" fontId="6" fillId="7" borderId="3" xfId="0" applyFont="1" applyFill="1" applyBorder="1" applyAlignment="1">
      <alignment horizontal="center" vertical="top"/>
    </xf>
    <xf numFmtId="0" fontId="5" fillId="0" borderId="8" xfId="0" applyFont="1" applyBorder="1" applyAlignment="1">
      <alignment horizontal="left" vertical="top"/>
    </xf>
    <xf numFmtId="0" fontId="6" fillId="2" borderId="4" xfId="0" applyFont="1" applyFill="1" applyBorder="1" applyAlignment="1">
      <alignment horizontal="center" vertical="top"/>
    </xf>
    <xf numFmtId="0" fontId="6" fillId="7" borderId="10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center" vertical="top"/>
    </xf>
    <xf numFmtId="0" fontId="11" fillId="4" borderId="3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/>
    </xf>
    <xf numFmtId="0" fontId="5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" xfId="0" quotePrefix="1" applyFont="1" applyFill="1" applyBorder="1" applyAlignment="1">
      <alignment horizontal="center" vertical="center"/>
    </xf>
    <xf numFmtId="0" fontId="4" fillId="7" borderId="2" xfId="0" quotePrefix="1" applyFont="1" applyFill="1" applyBorder="1" applyAlignment="1">
      <alignment horizontal="center" vertical="center"/>
    </xf>
    <xf numFmtId="0" fontId="4" fillId="7" borderId="3" xfId="0" quotePrefix="1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'Historic FI - Q1 i Q2'!$A$3</c:f>
              <c:strCache>
                <c:ptCount val="1"/>
                <c:pt idx="0">
                  <c:v>Area-Industrial</c:v>
                </c:pt>
              </c:strCache>
            </c:strRef>
          </c:tx>
          <c:cat>
            <c:strRef>
              <c:f>'Historic FI - Q1 i Q2'!$B$2:$L$2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Q2'!$B$3:$L$3</c:f>
              <c:numCache>
                <c:formatCode>0.00%</c:formatCode>
                <c:ptCount val="11"/>
                <c:pt idx="0">
                  <c:v>0.40663900414937759</c:v>
                </c:pt>
                <c:pt idx="1">
                  <c:v>0.43558282208588955</c:v>
                </c:pt>
                <c:pt idx="2">
                  <c:v>0.5357142857142857</c:v>
                </c:pt>
                <c:pt idx="3">
                  <c:v>0.50943396226415094</c:v>
                </c:pt>
                <c:pt idx="4">
                  <c:v>0.4</c:v>
                </c:pt>
                <c:pt idx="5">
                  <c:v>0.29464285714285715</c:v>
                </c:pt>
                <c:pt idx="6">
                  <c:v>0.54621848739495793</c:v>
                </c:pt>
                <c:pt idx="7">
                  <c:v>0.48979591836734693</c:v>
                </c:pt>
                <c:pt idx="8">
                  <c:v>0.31775700934579437</c:v>
                </c:pt>
                <c:pt idx="9">
                  <c:v>0.4942528735632184</c:v>
                </c:pt>
                <c:pt idx="10">
                  <c:v>0.34545454545454546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99-4A81-8EE1-E0FC91203252}"/>
            </c:ext>
          </c:extLst>
        </c:ser>
        <c:ser>
          <c:idx val="1"/>
          <c:order val="1"/>
          <c:tx>
            <c:strRef>
              <c:f>'Historic FI - Q1 i Q2'!$A$4</c:f>
              <c:strCache>
                <c:ptCount val="1"/>
                <c:pt idx="0">
                  <c:v>Disseny</c:v>
                </c:pt>
              </c:strCache>
            </c:strRef>
          </c:tx>
          <c:cat>
            <c:strRef>
              <c:f>'Historic FI - Q1 i Q2'!$B$2:$L$2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Q2'!$B$4:$L$4</c:f>
              <c:numCache>
                <c:formatCode>0.00%</c:formatCode>
                <c:ptCount val="11"/>
                <c:pt idx="0">
                  <c:v>0.66355140186915884</c:v>
                </c:pt>
                <c:pt idx="1">
                  <c:v>0.61702127659574468</c:v>
                </c:pt>
                <c:pt idx="2">
                  <c:v>0.61386138613861385</c:v>
                </c:pt>
                <c:pt idx="3">
                  <c:v>0.54545454545454541</c:v>
                </c:pt>
                <c:pt idx="4">
                  <c:v>0.51351351351351349</c:v>
                </c:pt>
                <c:pt idx="5">
                  <c:v>0.27906976744186046</c:v>
                </c:pt>
                <c:pt idx="6">
                  <c:v>0.61627906976744184</c:v>
                </c:pt>
                <c:pt idx="7">
                  <c:v>0.35555555555555557</c:v>
                </c:pt>
                <c:pt idx="8">
                  <c:v>0.52898550724637683</c:v>
                </c:pt>
                <c:pt idx="9">
                  <c:v>0.51923076923076927</c:v>
                </c:pt>
                <c:pt idx="10">
                  <c:v>0.60869565217391308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99-4A81-8EE1-E0FC91203252}"/>
            </c:ext>
          </c:extLst>
        </c:ser>
        <c:ser>
          <c:idx val="2"/>
          <c:order val="2"/>
          <c:tx>
            <c:strRef>
              <c:f>'Historic FI - Q1 i Q2'!$A$5</c:f>
              <c:strCache>
                <c:ptCount val="1"/>
                <c:pt idx="0">
                  <c:v>Informàtica</c:v>
                </c:pt>
              </c:strCache>
            </c:strRef>
          </c:tx>
          <c:cat>
            <c:strRef>
              <c:f>'Historic FI - Q1 i Q2'!$B$2:$L$2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Q2'!$B$5:$L$5</c:f>
              <c:numCache>
                <c:formatCode>0.00%</c:formatCode>
                <c:ptCount val="11"/>
                <c:pt idx="0">
                  <c:v>0.38596491228070173</c:v>
                </c:pt>
                <c:pt idx="1">
                  <c:v>0.5625</c:v>
                </c:pt>
                <c:pt idx="2">
                  <c:v>0.33333333333333331</c:v>
                </c:pt>
                <c:pt idx="3">
                  <c:v>0.26315789473684209</c:v>
                </c:pt>
                <c:pt idx="4">
                  <c:v>0.23728813559322035</c:v>
                </c:pt>
                <c:pt idx="5">
                  <c:v>0.5</c:v>
                </c:pt>
                <c:pt idx="6">
                  <c:v>0.3</c:v>
                </c:pt>
                <c:pt idx="7">
                  <c:v>0.34375</c:v>
                </c:pt>
                <c:pt idx="8">
                  <c:v>0.21739130434782608</c:v>
                </c:pt>
                <c:pt idx="9">
                  <c:v>0.46511627906976744</c:v>
                </c:pt>
                <c:pt idx="10">
                  <c:v>0.41025641025641024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99-4A81-8EE1-E0FC91203252}"/>
            </c:ext>
          </c:extLst>
        </c:ser>
        <c:ser>
          <c:idx val="3"/>
          <c:order val="3"/>
          <c:tx>
            <c:strRef>
              <c:f>'Historic FI - Q1 i Q2'!$A$6</c:f>
              <c:strCache>
                <c:ptCount val="1"/>
                <c:pt idx="0">
                  <c:v>% promig</c:v>
                </c:pt>
              </c:strCache>
            </c:strRef>
          </c:tx>
          <c:cat>
            <c:strRef>
              <c:f>'Historic FI - Q1 i Q2'!$B$2:$L$2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Q2'!$B$6:$L$6</c:f>
              <c:numCache>
                <c:formatCode>0.00%</c:formatCode>
                <c:ptCount val="11"/>
                <c:pt idx="0">
                  <c:v>0.485385106099746</c:v>
                </c:pt>
                <c:pt idx="1">
                  <c:v>0.53836803289387813</c:v>
                </c:pt>
                <c:pt idx="2">
                  <c:v>0.49430300172874425</c:v>
                </c:pt>
                <c:pt idx="3">
                  <c:v>0.43934880081851285</c:v>
                </c:pt>
                <c:pt idx="4">
                  <c:v>0.38360054970224461</c:v>
                </c:pt>
                <c:pt idx="5">
                  <c:v>0.35790420819490593</c:v>
                </c:pt>
                <c:pt idx="6">
                  <c:v>0.48749918572079998</c:v>
                </c:pt>
                <c:pt idx="7">
                  <c:v>0.39636715797430083</c:v>
                </c:pt>
                <c:pt idx="8">
                  <c:v>0.35471127364666577</c:v>
                </c:pt>
                <c:pt idx="9">
                  <c:v>0.49286664062125168</c:v>
                </c:pt>
                <c:pt idx="10">
                  <c:v>0.45480220262828963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499-4A81-8EE1-E0FC91203252}"/>
            </c:ext>
          </c:extLst>
        </c:ser>
        <c:dLbls/>
        <c:marker val="1"/>
        <c:axId val="114333952"/>
        <c:axId val="114348032"/>
      </c:lineChart>
      <c:catAx>
        <c:axId val="114333952"/>
        <c:scaling>
          <c:orientation val="minMax"/>
        </c:scaling>
        <c:axPos val="b"/>
        <c:numFmt formatCode="General" sourceLinked="0"/>
        <c:tickLblPos val="nextTo"/>
        <c:crossAx val="114348032"/>
        <c:crosses val="autoZero"/>
        <c:auto val="1"/>
        <c:lblAlgn val="ctr"/>
        <c:lblOffset val="100"/>
      </c:catAx>
      <c:valAx>
        <c:axId val="114348032"/>
        <c:scaling>
          <c:orientation val="minMax"/>
        </c:scaling>
        <c:axPos val="l"/>
        <c:majorGridlines/>
        <c:numFmt formatCode="0.00%" sourceLinked="1"/>
        <c:tickLblPos val="nextTo"/>
        <c:crossAx val="11433395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'Historic FI - Q1 i Q2'!$A$22</c:f>
              <c:strCache>
                <c:ptCount val="1"/>
                <c:pt idx="0">
                  <c:v>Area-Industrial</c:v>
                </c:pt>
              </c:strCache>
            </c:strRef>
          </c:tx>
          <c:cat>
            <c:strRef>
              <c:f>'Historic FI - Q1 i Q2'!$B$21:$L$21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Q2'!$B$22:$L$22</c:f>
              <c:numCache>
                <c:formatCode>General</c:formatCode>
                <c:ptCount val="11"/>
                <c:pt idx="0">
                  <c:v>98</c:v>
                </c:pt>
                <c:pt idx="1">
                  <c:v>71</c:v>
                </c:pt>
                <c:pt idx="2">
                  <c:v>120</c:v>
                </c:pt>
                <c:pt idx="3">
                  <c:v>54</c:v>
                </c:pt>
                <c:pt idx="4">
                  <c:v>80</c:v>
                </c:pt>
                <c:pt idx="5">
                  <c:v>37</c:v>
                </c:pt>
                <c:pt idx="6">
                  <c:v>65</c:v>
                </c:pt>
                <c:pt idx="7">
                  <c:v>48</c:v>
                </c:pt>
                <c:pt idx="8">
                  <c:v>68</c:v>
                </c:pt>
                <c:pt idx="9">
                  <c:v>71</c:v>
                </c:pt>
                <c:pt idx="10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95-4233-BE5A-AD984F03E0BA}"/>
            </c:ext>
          </c:extLst>
        </c:ser>
        <c:ser>
          <c:idx val="1"/>
          <c:order val="1"/>
          <c:tx>
            <c:strRef>
              <c:f>'Historic FI - Q1 i Q2'!$A$23</c:f>
              <c:strCache>
                <c:ptCount val="1"/>
                <c:pt idx="0">
                  <c:v>Disseny</c:v>
                </c:pt>
              </c:strCache>
            </c:strRef>
          </c:tx>
          <c:cat>
            <c:strRef>
              <c:f>'Historic FI - Q1 i Q2'!$B$21:$L$21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Q2'!$B$23:$L$23</c:f>
              <c:numCache>
                <c:formatCode>General</c:formatCode>
                <c:ptCount val="11"/>
                <c:pt idx="0">
                  <c:v>71</c:v>
                </c:pt>
                <c:pt idx="1">
                  <c:v>29</c:v>
                </c:pt>
                <c:pt idx="2">
                  <c:v>62</c:v>
                </c:pt>
                <c:pt idx="3">
                  <c:v>18</c:v>
                </c:pt>
                <c:pt idx="4">
                  <c:v>57</c:v>
                </c:pt>
                <c:pt idx="5">
                  <c:v>12</c:v>
                </c:pt>
                <c:pt idx="6">
                  <c:v>53</c:v>
                </c:pt>
                <c:pt idx="7">
                  <c:v>16</c:v>
                </c:pt>
                <c:pt idx="8">
                  <c:v>73</c:v>
                </c:pt>
                <c:pt idx="9">
                  <c:v>29</c:v>
                </c:pt>
                <c:pt idx="10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95-4233-BE5A-AD984F03E0BA}"/>
            </c:ext>
          </c:extLst>
        </c:ser>
        <c:ser>
          <c:idx val="2"/>
          <c:order val="2"/>
          <c:tx>
            <c:strRef>
              <c:f>'Historic FI - Q1 i Q2'!$A$24</c:f>
              <c:strCache>
                <c:ptCount val="1"/>
                <c:pt idx="0">
                  <c:v>Informàtica</c:v>
                </c:pt>
              </c:strCache>
            </c:strRef>
          </c:tx>
          <c:cat>
            <c:strRef>
              <c:f>'Historic FI - Q1 i Q2'!$B$21:$L$21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Q2'!$B$24:$L$24</c:f>
              <c:numCache>
                <c:formatCode>General</c:formatCode>
                <c:ptCount val="11"/>
                <c:pt idx="0">
                  <c:v>22</c:v>
                </c:pt>
                <c:pt idx="1">
                  <c:v>18</c:v>
                </c:pt>
                <c:pt idx="2">
                  <c:v>19</c:v>
                </c:pt>
                <c:pt idx="3">
                  <c:v>5</c:v>
                </c:pt>
                <c:pt idx="4">
                  <c:v>14</c:v>
                </c:pt>
                <c:pt idx="5">
                  <c:v>16</c:v>
                </c:pt>
                <c:pt idx="6">
                  <c:v>9</c:v>
                </c:pt>
                <c:pt idx="7">
                  <c:v>11</c:v>
                </c:pt>
                <c:pt idx="8">
                  <c:v>15</c:v>
                </c:pt>
                <c:pt idx="9">
                  <c:v>18</c:v>
                </c:pt>
                <c:pt idx="10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95-4233-BE5A-AD984F03E0BA}"/>
            </c:ext>
          </c:extLst>
        </c:ser>
        <c:ser>
          <c:idx val="3"/>
          <c:order val="3"/>
          <c:tx>
            <c:strRef>
              <c:f>'Historic FI - Q1 i Q2'!$A$25</c:f>
              <c:strCache>
                <c:ptCount val="1"/>
                <c:pt idx="0">
                  <c:v>Total aptes</c:v>
                </c:pt>
              </c:strCache>
            </c:strRef>
          </c:tx>
          <c:cat>
            <c:strRef>
              <c:f>'Historic FI - Q1 i Q2'!$B$21:$L$21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Q2'!$B$25:$L$25</c:f>
              <c:numCache>
                <c:formatCode>General</c:formatCode>
                <c:ptCount val="11"/>
                <c:pt idx="0">
                  <c:v>191</c:v>
                </c:pt>
                <c:pt idx="1">
                  <c:v>118</c:v>
                </c:pt>
                <c:pt idx="2">
                  <c:v>201</c:v>
                </c:pt>
                <c:pt idx="3">
                  <c:v>77</c:v>
                </c:pt>
                <c:pt idx="4">
                  <c:v>151</c:v>
                </c:pt>
                <c:pt idx="5">
                  <c:v>65</c:v>
                </c:pt>
                <c:pt idx="6">
                  <c:v>127</c:v>
                </c:pt>
                <c:pt idx="7">
                  <c:v>75</c:v>
                </c:pt>
                <c:pt idx="8">
                  <c:v>156</c:v>
                </c:pt>
                <c:pt idx="9">
                  <c:v>118</c:v>
                </c:pt>
                <c:pt idx="10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95-4233-BE5A-AD984F03E0BA}"/>
            </c:ext>
          </c:extLst>
        </c:ser>
        <c:dLbls/>
        <c:marker val="1"/>
        <c:axId val="114520832"/>
        <c:axId val="114522368"/>
      </c:lineChart>
      <c:catAx>
        <c:axId val="114520832"/>
        <c:scaling>
          <c:orientation val="minMax"/>
        </c:scaling>
        <c:axPos val="b"/>
        <c:numFmt formatCode="General" sourceLinked="0"/>
        <c:tickLblPos val="nextTo"/>
        <c:crossAx val="114522368"/>
        <c:crosses val="autoZero"/>
        <c:auto val="1"/>
        <c:lblAlgn val="ctr"/>
        <c:lblOffset val="100"/>
      </c:catAx>
      <c:valAx>
        <c:axId val="114522368"/>
        <c:scaling>
          <c:orientation val="minMax"/>
        </c:scaling>
        <c:axPos val="l"/>
        <c:majorGridlines/>
        <c:numFmt formatCode="General" sourceLinked="1"/>
        <c:tickLblPos val="nextTo"/>
        <c:crossAx val="11452083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'Historic Fi - Q1'!$A$3</c:f>
              <c:strCache>
                <c:ptCount val="1"/>
                <c:pt idx="0">
                  <c:v>Area-Industrial</c:v>
                </c:pt>
              </c:strCache>
            </c:strRef>
          </c:tx>
          <c:cat>
            <c:strRef>
              <c:f>'Historic Fi - Q1'!$B$2:$F$2</c:f>
              <c:strCache>
                <c:ptCount val="5"/>
                <c:pt idx="0">
                  <c:v>2013/14-1</c:v>
                </c:pt>
                <c:pt idx="1">
                  <c:v>2014/15-1</c:v>
                </c:pt>
                <c:pt idx="2">
                  <c:v>2015/16-1</c:v>
                </c:pt>
                <c:pt idx="3">
                  <c:v>2016/17-1</c:v>
                </c:pt>
                <c:pt idx="4">
                  <c:v>2017/18-1</c:v>
                </c:pt>
              </c:strCache>
            </c:strRef>
          </c:cat>
          <c:val>
            <c:numRef>
              <c:f>'Historic Fi - Q1'!$B$3:$F$3</c:f>
              <c:numCache>
                <c:formatCode>0.00%</c:formatCode>
                <c:ptCount val="5"/>
                <c:pt idx="0">
                  <c:v>0.43558282208588955</c:v>
                </c:pt>
                <c:pt idx="1">
                  <c:v>0.50943396226415094</c:v>
                </c:pt>
                <c:pt idx="2">
                  <c:v>0.29464285714285715</c:v>
                </c:pt>
                <c:pt idx="3">
                  <c:v>0.48979591836734693</c:v>
                </c:pt>
                <c:pt idx="4">
                  <c:v>0.49430000000000002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7A-49A5-AA18-6690B1B70D9B}"/>
            </c:ext>
          </c:extLst>
        </c:ser>
        <c:ser>
          <c:idx val="1"/>
          <c:order val="1"/>
          <c:tx>
            <c:strRef>
              <c:f>'Historic Fi - Q1'!$A$4</c:f>
              <c:strCache>
                <c:ptCount val="1"/>
                <c:pt idx="0">
                  <c:v>Disseny</c:v>
                </c:pt>
              </c:strCache>
            </c:strRef>
          </c:tx>
          <c:cat>
            <c:strRef>
              <c:f>'Historic Fi - Q1'!$B$2:$F$2</c:f>
              <c:strCache>
                <c:ptCount val="5"/>
                <c:pt idx="0">
                  <c:v>2013/14-1</c:v>
                </c:pt>
                <c:pt idx="1">
                  <c:v>2014/15-1</c:v>
                </c:pt>
                <c:pt idx="2">
                  <c:v>2015/16-1</c:v>
                </c:pt>
                <c:pt idx="3">
                  <c:v>2016/17-1</c:v>
                </c:pt>
                <c:pt idx="4">
                  <c:v>2017/18-1</c:v>
                </c:pt>
              </c:strCache>
            </c:strRef>
          </c:cat>
          <c:val>
            <c:numRef>
              <c:f>'Historic Fi - Q1'!$B$4:$F$4</c:f>
              <c:numCache>
                <c:formatCode>0.00%</c:formatCode>
                <c:ptCount val="5"/>
                <c:pt idx="0">
                  <c:v>0.61702127659574468</c:v>
                </c:pt>
                <c:pt idx="1">
                  <c:v>0.54545454545454541</c:v>
                </c:pt>
                <c:pt idx="2">
                  <c:v>0.27906976744186046</c:v>
                </c:pt>
                <c:pt idx="3">
                  <c:v>0.35555555555555557</c:v>
                </c:pt>
                <c:pt idx="4">
                  <c:v>0.51919999999999999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7A-49A5-AA18-6690B1B70D9B}"/>
            </c:ext>
          </c:extLst>
        </c:ser>
        <c:ser>
          <c:idx val="2"/>
          <c:order val="2"/>
          <c:tx>
            <c:strRef>
              <c:f>'Historic Fi - Q1'!$A$5</c:f>
              <c:strCache>
                <c:ptCount val="1"/>
                <c:pt idx="0">
                  <c:v>Informàtica</c:v>
                </c:pt>
              </c:strCache>
            </c:strRef>
          </c:tx>
          <c:cat>
            <c:strRef>
              <c:f>'Historic Fi - Q1'!$B$2:$F$2</c:f>
              <c:strCache>
                <c:ptCount val="5"/>
                <c:pt idx="0">
                  <c:v>2013/14-1</c:v>
                </c:pt>
                <c:pt idx="1">
                  <c:v>2014/15-1</c:v>
                </c:pt>
                <c:pt idx="2">
                  <c:v>2015/16-1</c:v>
                </c:pt>
                <c:pt idx="3">
                  <c:v>2016/17-1</c:v>
                </c:pt>
                <c:pt idx="4">
                  <c:v>2017/18-1</c:v>
                </c:pt>
              </c:strCache>
            </c:strRef>
          </c:cat>
          <c:val>
            <c:numRef>
              <c:f>'Historic Fi - Q1'!$B$5:$F$5</c:f>
              <c:numCache>
                <c:formatCode>0.00%</c:formatCode>
                <c:ptCount val="5"/>
                <c:pt idx="0">
                  <c:v>0.5625</c:v>
                </c:pt>
                <c:pt idx="1">
                  <c:v>0.26315789473684209</c:v>
                </c:pt>
                <c:pt idx="2">
                  <c:v>0.5</c:v>
                </c:pt>
                <c:pt idx="3">
                  <c:v>0.34375</c:v>
                </c:pt>
                <c:pt idx="4">
                  <c:v>0.46510000000000001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7A-49A5-AA18-6690B1B70D9B}"/>
            </c:ext>
          </c:extLst>
        </c:ser>
        <c:ser>
          <c:idx val="3"/>
          <c:order val="3"/>
          <c:tx>
            <c:strRef>
              <c:f>'Historic Fi - Q1'!$A$6</c:f>
              <c:strCache>
                <c:ptCount val="1"/>
                <c:pt idx="0">
                  <c:v>% promig</c:v>
                </c:pt>
              </c:strCache>
            </c:strRef>
          </c:tx>
          <c:spPr>
            <a:ln w="25400">
              <a:prstDash val="dash"/>
            </a:ln>
          </c:spPr>
          <c:cat>
            <c:strRef>
              <c:f>'Historic Fi - Q1'!$B$2:$F$2</c:f>
              <c:strCache>
                <c:ptCount val="5"/>
                <c:pt idx="0">
                  <c:v>2013/14-1</c:v>
                </c:pt>
                <c:pt idx="1">
                  <c:v>2014/15-1</c:v>
                </c:pt>
                <c:pt idx="2">
                  <c:v>2015/16-1</c:v>
                </c:pt>
                <c:pt idx="3">
                  <c:v>2016/17-1</c:v>
                </c:pt>
                <c:pt idx="4">
                  <c:v>2017/18-1</c:v>
                </c:pt>
              </c:strCache>
            </c:strRef>
          </c:cat>
          <c:val>
            <c:numRef>
              <c:f>'Historic Fi - Q1'!$B$6:$F$6</c:f>
              <c:numCache>
                <c:formatCode>0.00%</c:formatCode>
                <c:ptCount val="5"/>
                <c:pt idx="0">
                  <c:v>0.53836803289387813</c:v>
                </c:pt>
                <c:pt idx="1">
                  <c:v>0.43934880081851285</c:v>
                </c:pt>
                <c:pt idx="2">
                  <c:v>0.35790420819490593</c:v>
                </c:pt>
                <c:pt idx="3">
                  <c:v>0.39636715797430083</c:v>
                </c:pt>
                <c:pt idx="4">
                  <c:v>0.49286666666666673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7A-49A5-AA18-6690B1B70D9B}"/>
            </c:ext>
          </c:extLst>
        </c:ser>
        <c:dLbls/>
        <c:marker val="1"/>
        <c:axId val="114742016"/>
        <c:axId val="114743552"/>
      </c:lineChart>
      <c:catAx>
        <c:axId val="11474201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743552"/>
        <c:crosses val="autoZero"/>
        <c:auto val="1"/>
        <c:lblAlgn val="ctr"/>
        <c:lblOffset val="100"/>
      </c:catAx>
      <c:valAx>
        <c:axId val="114743552"/>
        <c:scaling>
          <c:orientation val="minMax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74201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'Historic Fi - Q1'!$A$22</c:f>
              <c:strCache>
                <c:ptCount val="1"/>
                <c:pt idx="0">
                  <c:v>Area-Industrial</c:v>
                </c:pt>
              </c:strCache>
            </c:strRef>
          </c:tx>
          <c:cat>
            <c:strRef>
              <c:f>'Historic Fi - Q1'!$B$21:$F$21</c:f>
              <c:strCache>
                <c:ptCount val="5"/>
                <c:pt idx="0">
                  <c:v>2013/14-1</c:v>
                </c:pt>
                <c:pt idx="1">
                  <c:v>2014/15-1</c:v>
                </c:pt>
                <c:pt idx="2">
                  <c:v>2015/16-1</c:v>
                </c:pt>
                <c:pt idx="3">
                  <c:v>2016/17-1</c:v>
                </c:pt>
                <c:pt idx="4">
                  <c:v>2017/18-1</c:v>
                </c:pt>
              </c:strCache>
            </c:strRef>
          </c:cat>
          <c:val>
            <c:numRef>
              <c:f>'Historic Fi - Q1'!$B$22:$F$22</c:f>
              <c:numCache>
                <c:formatCode>General</c:formatCode>
                <c:ptCount val="5"/>
                <c:pt idx="0">
                  <c:v>71</c:v>
                </c:pt>
                <c:pt idx="1">
                  <c:v>54</c:v>
                </c:pt>
                <c:pt idx="2">
                  <c:v>37</c:v>
                </c:pt>
                <c:pt idx="3">
                  <c:v>48</c:v>
                </c:pt>
                <c:pt idx="4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EE-4DD9-87AD-5DC8C0559508}"/>
            </c:ext>
          </c:extLst>
        </c:ser>
        <c:ser>
          <c:idx val="1"/>
          <c:order val="1"/>
          <c:tx>
            <c:strRef>
              <c:f>'Historic Fi - Q1'!$A$23</c:f>
              <c:strCache>
                <c:ptCount val="1"/>
                <c:pt idx="0">
                  <c:v>Disseny</c:v>
                </c:pt>
              </c:strCache>
            </c:strRef>
          </c:tx>
          <c:cat>
            <c:strRef>
              <c:f>'Historic Fi - Q1'!$B$21:$F$21</c:f>
              <c:strCache>
                <c:ptCount val="5"/>
                <c:pt idx="0">
                  <c:v>2013/14-1</c:v>
                </c:pt>
                <c:pt idx="1">
                  <c:v>2014/15-1</c:v>
                </c:pt>
                <c:pt idx="2">
                  <c:v>2015/16-1</c:v>
                </c:pt>
                <c:pt idx="3">
                  <c:v>2016/17-1</c:v>
                </c:pt>
                <c:pt idx="4">
                  <c:v>2017/18-1</c:v>
                </c:pt>
              </c:strCache>
            </c:strRef>
          </c:cat>
          <c:val>
            <c:numRef>
              <c:f>'Historic Fi - Q1'!$B$23:$F$23</c:f>
              <c:numCache>
                <c:formatCode>General</c:formatCode>
                <c:ptCount val="5"/>
                <c:pt idx="0">
                  <c:v>29</c:v>
                </c:pt>
                <c:pt idx="1">
                  <c:v>18</c:v>
                </c:pt>
                <c:pt idx="2">
                  <c:v>12</c:v>
                </c:pt>
                <c:pt idx="3">
                  <c:v>16</c:v>
                </c:pt>
                <c:pt idx="4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EE-4DD9-87AD-5DC8C0559508}"/>
            </c:ext>
          </c:extLst>
        </c:ser>
        <c:ser>
          <c:idx val="2"/>
          <c:order val="2"/>
          <c:tx>
            <c:strRef>
              <c:f>'Historic Fi - Q1'!$A$24</c:f>
              <c:strCache>
                <c:ptCount val="1"/>
                <c:pt idx="0">
                  <c:v>Informàtica</c:v>
                </c:pt>
              </c:strCache>
            </c:strRef>
          </c:tx>
          <c:cat>
            <c:strRef>
              <c:f>'Historic Fi - Q1'!$B$21:$F$21</c:f>
              <c:strCache>
                <c:ptCount val="5"/>
                <c:pt idx="0">
                  <c:v>2013/14-1</c:v>
                </c:pt>
                <c:pt idx="1">
                  <c:v>2014/15-1</c:v>
                </c:pt>
                <c:pt idx="2">
                  <c:v>2015/16-1</c:v>
                </c:pt>
                <c:pt idx="3">
                  <c:v>2016/17-1</c:v>
                </c:pt>
                <c:pt idx="4">
                  <c:v>2017/18-1</c:v>
                </c:pt>
              </c:strCache>
            </c:strRef>
          </c:cat>
          <c:val>
            <c:numRef>
              <c:f>'Historic Fi - Q1'!$B$24:$F$24</c:f>
              <c:numCache>
                <c:formatCode>General</c:formatCode>
                <c:ptCount val="5"/>
                <c:pt idx="0">
                  <c:v>18</c:v>
                </c:pt>
                <c:pt idx="1">
                  <c:v>5</c:v>
                </c:pt>
                <c:pt idx="2">
                  <c:v>16</c:v>
                </c:pt>
                <c:pt idx="3">
                  <c:v>11</c:v>
                </c:pt>
                <c:pt idx="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EE-4DD9-87AD-5DC8C0559508}"/>
            </c:ext>
          </c:extLst>
        </c:ser>
        <c:ser>
          <c:idx val="3"/>
          <c:order val="3"/>
          <c:tx>
            <c:strRef>
              <c:f>'Historic Fi - Q1'!$A$25</c:f>
              <c:strCache>
                <c:ptCount val="1"/>
                <c:pt idx="0">
                  <c:v>Total aptes</c:v>
                </c:pt>
              </c:strCache>
            </c:strRef>
          </c:tx>
          <c:cat>
            <c:strRef>
              <c:f>'Historic Fi - Q1'!$B$21:$F$21</c:f>
              <c:strCache>
                <c:ptCount val="5"/>
                <c:pt idx="0">
                  <c:v>2013/14-1</c:v>
                </c:pt>
                <c:pt idx="1">
                  <c:v>2014/15-1</c:v>
                </c:pt>
                <c:pt idx="2">
                  <c:v>2015/16-1</c:v>
                </c:pt>
                <c:pt idx="3">
                  <c:v>2016/17-1</c:v>
                </c:pt>
                <c:pt idx="4">
                  <c:v>2017/18-1</c:v>
                </c:pt>
              </c:strCache>
            </c:strRef>
          </c:cat>
          <c:val>
            <c:numRef>
              <c:f>'Historic Fi - Q1'!$B$25:$F$25</c:f>
              <c:numCache>
                <c:formatCode>General</c:formatCode>
                <c:ptCount val="5"/>
                <c:pt idx="0">
                  <c:v>118</c:v>
                </c:pt>
                <c:pt idx="1">
                  <c:v>77</c:v>
                </c:pt>
                <c:pt idx="2">
                  <c:v>65</c:v>
                </c:pt>
                <c:pt idx="3">
                  <c:v>75</c:v>
                </c:pt>
                <c:pt idx="4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0EE-4DD9-87AD-5DC8C0559508}"/>
            </c:ext>
          </c:extLst>
        </c:ser>
        <c:dLbls/>
        <c:marker val="1"/>
        <c:axId val="114670592"/>
        <c:axId val="114684672"/>
      </c:lineChart>
      <c:catAx>
        <c:axId val="114670592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684672"/>
        <c:crosses val="autoZero"/>
        <c:auto val="1"/>
        <c:lblAlgn val="ctr"/>
        <c:lblOffset val="100"/>
      </c:catAx>
      <c:valAx>
        <c:axId val="1146846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4670592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'Historic FI -Q2'!$A$3</c:f>
              <c:strCache>
                <c:ptCount val="1"/>
                <c:pt idx="0">
                  <c:v>Area-Industrial</c:v>
                </c:pt>
              </c:strCache>
            </c:strRef>
          </c:tx>
          <c:cat>
            <c:strRef>
              <c:f>'Historic FI -Q2'!$B$2:$G$2</c:f>
              <c:strCache>
                <c:ptCount val="6"/>
                <c:pt idx="0">
                  <c:v>2012/13-2</c:v>
                </c:pt>
                <c:pt idx="1">
                  <c:v>2013/14-2</c:v>
                </c:pt>
                <c:pt idx="2">
                  <c:v>2014/15-2</c:v>
                </c:pt>
                <c:pt idx="3">
                  <c:v>2015/16-2</c:v>
                </c:pt>
                <c:pt idx="4">
                  <c:v>2016/17-2</c:v>
                </c:pt>
                <c:pt idx="5">
                  <c:v>2017/18-2</c:v>
                </c:pt>
              </c:strCache>
            </c:strRef>
          </c:cat>
          <c:val>
            <c:numRef>
              <c:f>'Historic FI -Q2'!$B$3:$G$3</c:f>
              <c:numCache>
                <c:formatCode>0.00%</c:formatCode>
                <c:ptCount val="6"/>
                <c:pt idx="0">
                  <c:v>0.40663900414937759</c:v>
                </c:pt>
                <c:pt idx="1">
                  <c:v>0.5357142857142857</c:v>
                </c:pt>
                <c:pt idx="2">
                  <c:v>0.4</c:v>
                </c:pt>
                <c:pt idx="3">
                  <c:v>0.54621848739495793</c:v>
                </c:pt>
                <c:pt idx="4">
                  <c:v>0.31775700934579437</c:v>
                </c:pt>
                <c:pt idx="5">
                  <c:v>0.34545454545454546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B3-404E-BC6A-7D1BBD438FF2}"/>
            </c:ext>
          </c:extLst>
        </c:ser>
        <c:ser>
          <c:idx val="1"/>
          <c:order val="1"/>
          <c:tx>
            <c:strRef>
              <c:f>'Historic FI -Q2'!$A$4</c:f>
              <c:strCache>
                <c:ptCount val="1"/>
                <c:pt idx="0">
                  <c:v>Disseny</c:v>
                </c:pt>
              </c:strCache>
            </c:strRef>
          </c:tx>
          <c:cat>
            <c:strRef>
              <c:f>'Historic FI -Q2'!$B$2:$G$2</c:f>
              <c:strCache>
                <c:ptCount val="6"/>
                <c:pt idx="0">
                  <c:v>2012/13-2</c:v>
                </c:pt>
                <c:pt idx="1">
                  <c:v>2013/14-2</c:v>
                </c:pt>
                <c:pt idx="2">
                  <c:v>2014/15-2</c:v>
                </c:pt>
                <c:pt idx="3">
                  <c:v>2015/16-2</c:v>
                </c:pt>
                <c:pt idx="4">
                  <c:v>2016/17-2</c:v>
                </c:pt>
                <c:pt idx="5">
                  <c:v>2017/18-2</c:v>
                </c:pt>
              </c:strCache>
            </c:strRef>
          </c:cat>
          <c:val>
            <c:numRef>
              <c:f>'Historic FI -Q2'!$B$4:$G$4</c:f>
              <c:numCache>
                <c:formatCode>0.00%</c:formatCode>
                <c:ptCount val="6"/>
                <c:pt idx="0">
                  <c:v>0.66355140186915884</c:v>
                </c:pt>
                <c:pt idx="1">
                  <c:v>0.61386138613861385</c:v>
                </c:pt>
                <c:pt idx="2">
                  <c:v>0.51351351351351349</c:v>
                </c:pt>
                <c:pt idx="3">
                  <c:v>0.61627906976744184</c:v>
                </c:pt>
                <c:pt idx="4">
                  <c:v>0.52898550724637683</c:v>
                </c:pt>
                <c:pt idx="5">
                  <c:v>0.60869565217391308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B3-404E-BC6A-7D1BBD438FF2}"/>
            </c:ext>
          </c:extLst>
        </c:ser>
        <c:ser>
          <c:idx val="2"/>
          <c:order val="2"/>
          <c:tx>
            <c:strRef>
              <c:f>'Historic FI -Q2'!$A$5</c:f>
              <c:strCache>
                <c:ptCount val="1"/>
                <c:pt idx="0">
                  <c:v>Informàtica</c:v>
                </c:pt>
              </c:strCache>
            </c:strRef>
          </c:tx>
          <c:cat>
            <c:strRef>
              <c:f>'Historic FI -Q2'!$B$2:$G$2</c:f>
              <c:strCache>
                <c:ptCount val="6"/>
                <c:pt idx="0">
                  <c:v>2012/13-2</c:v>
                </c:pt>
                <c:pt idx="1">
                  <c:v>2013/14-2</c:v>
                </c:pt>
                <c:pt idx="2">
                  <c:v>2014/15-2</c:v>
                </c:pt>
                <c:pt idx="3">
                  <c:v>2015/16-2</c:v>
                </c:pt>
                <c:pt idx="4">
                  <c:v>2016/17-2</c:v>
                </c:pt>
                <c:pt idx="5">
                  <c:v>2017/18-2</c:v>
                </c:pt>
              </c:strCache>
            </c:strRef>
          </c:cat>
          <c:val>
            <c:numRef>
              <c:f>'Historic FI -Q2'!$B$5:$G$5</c:f>
              <c:numCache>
                <c:formatCode>0.00%</c:formatCode>
                <c:ptCount val="6"/>
                <c:pt idx="0">
                  <c:v>0.38596491228070173</c:v>
                </c:pt>
                <c:pt idx="1">
                  <c:v>0.33333333333333331</c:v>
                </c:pt>
                <c:pt idx="2">
                  <c:v>0.23728813559322035</c:v>
                </c:pt>
                <c:pt idx="3">
                  <c:v>0.3</c:v>
                </c:pt>
                <c:pt idx="4">
                  <c:v>0.21739130434782608</c:v>
                </c:pt>
                <c:pt idx="5">
                  <c:v>0.41025641025641024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B3-404E-BC6A-7D1BBD438FF2}"/>
            </c:ext>
          </c:extLst>
        </c:ser>
        <c:ser>
          <c:idx val="3"/>
          <c:order val="3"/>
          <c:tx>
            <c:strRef>
              <c:f>'Historic FI -Q2'!$A$6</c:f>
              <c:strCache>
                <c:ptCount val="1"/>
                <c:pt idx="0">
                  <c:v>% promig</c:v>
                </c:pt>
              </c:strCache>
            </c:strRef>
          </c:tx>
          <c:spPr>
            <a:ln w="25400">
              <a:prstDash val="dash"/>
            </a:ln>
          </c:spPr>
          <c:cat>
            <c:strRef>
              <c:f>'Historic FI -Q2'!$B$2:$G$2</c:f>
              <c:strCache>
                <c:ptCount val="6"/>
                <c:pt idx="0">
                  <c:v>2012/13-2</c:v>
                </c:pt>
                <c:pt idx="1">
                  <c:v>2013/14-2</c:v>
                </c:pt>
                <c:pt idx="2">
                  <c:v>2014/15-2</c:v>
                </c:pt>
                <c:pt idx="3">
                  <c:v>2015/16-2</c:v>
                </c:pt>
                <c:pt idx="4">
                  <c:v>2016/17-2</c:v>
                </c:pt>
                <c:pt idx="5">
                  <c:v>2017/18-2</c:v>
                </c:pt>
              </c:strCache>
            </c:strRef>
          </c:cat>
          <c:val>
            <c:numRef>
              <c:f>'Historic FI -Q2'!$B$6:$G$6</c:f>
              <c:numCache>
                <c:formatCode>0.00%</c:formatCode>
                <c:ptCount val="6"/>
                <c:pt idx="0">
                  <c:v>0.485385106099746</c:v>
                </c:pt>
                <c:pt idx="1">
                  <c:v>0.49430300172874425</c:v>
                </c:pt>
                <c:pt idx="2">
                  <c:v>0.38360054970224461</c:v>
                </c:pt>
                <c:pt idx="3">
                  <c:v>0.48749918572079998</c:v>
                </c:pt>
                <c:pt idx="4">
                  <c:v>0.35471127364666577</c:v>
                </c:pt>
                <c:pt idx="5">
                  <c:v>0.45480220262828963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7B3-404E-BC6A-7D1BBD438FF2}"/>
            </c:ext>
          </c:extLst>
        </c:ser>
        <c:dLbls/>
        <c:marker val="1"/>
        <c:axId val="113809280"/>
        <c:axId val="113810816"/>
      </c:lineChart>
      <c:catAx>
        <c:axId val="11380928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3810816"/>
        <c:crosses val="autoZero"/>
        <c:auto val="1"/>
        <c:lblAlgn val="ctr"/>
        <c:lblOffset val="100"/>
      </c:catAx>
      <c:valAx>
        <c:axId val="113810816"/>
        <c:scaling>
          <c:orientation val="minMax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3809280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'Historic FI -Q2'!$A$22</c:f>
              <c:strCache>
                <c:ptCount val="1"/>
                <c:pt idx="0">
                  <c:v>Area-Industrial</c:v>
                </c:pt>
              </c:strCache>
            </c:strRef>
          </c:tx>
          <c:cat>
            <c:strRef>
              <c:f>'Historic FI -Q2'!$B$21:$G$21</c:f>
              <c:strCache>
                <c:ptCount val="6"/>
                <c:pt idx="0">
                  <c:v>2012/13-2</c:v>
                </c:pt>
                <c:pt idx="1">
                  <c:v>2013/14-2</c:v>
                </c:pt>
                <c:pt idx="2">
                  <c:v>2014/15-2</c:v>
                </c:pt>
                <c:pt idx="3">
                  <c:v>2015/16-2</c:v>
                </c:pt>
                <c:pt idx="4">
                  <c:v>2016/17-2</c:v>
                </c:pt>
                <c:pt idx="5">
                  <c:v>2017/18-2</c:v>
                </c:pt>
              </c:strCache>
            </c:strRef>
          </c:cat>
          <c:val>
            <c:numRef>
              <c:f>'Historic FI -Q2'!$B$22:$G$22</c:f>
              <c:numCache>
                <c:formatCode>General</c:formatCode>
                <c:ptCount val="6"/>
                <c:pt idx="0">
                  <c:v>98</c:v>
                </c:pt>
                <c:pt idx="1">
                  <c:v>120</c:v>
                </c:pt>
                <c:pt idx="2">
                  <c:v>80</c:v>
                </c:pt>
                <c:pt idx="3">
                  <c:v>65</c:v>
                </c:pt>
                <c:pt idx="4">
                  <c:v>68</c:v>
                </c:pt>
                <c:pt idx="5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21-4F85-8DC6-A7EB7BC30C35}"/>
            </c:ext>
          </c:extLst>
        </c:ser>
        <c:ser>
          <c:idx val="1"/>
          <c:order val="1"/>
          <c:tx>
            <c:strRef>
              <c:f>'Historic FI -Q2'!$A$23</c:f>
              <c:strCache>
                <c:ptCount val="1"/>
                <c:pt idx="0">
                  <c:v>Disseny</c:v>
                </c:pt>
              </c:strCache>
            </c:strRef>
          </c:tx>
          <c:cat>
            <c:strRef>
              <c:f>'Historic FI -Q2'!$B$21:$G$21</c:f>
              <c:strCache>
                <c:ptCount val="6"/>
                <c:pt idx="0">
                  <c:v>2012/13-2</c:v>
                </c:pt>
                <c:pt idx="1">
                  <c:v>2013/14-2</c:v>
                </c:pt>
                <c:pt idx="2">
                  <c:v>2014/15-2</c:v>
                </c:pt>
                <c:pt idx="3">
                  <c:v>2015/16-2</c:v>
                </c:pt>
                <c:pt idx="4">
                  <c:v>2016/17-2</c:v>
                </c:pt>
                <c:pt idx="5">
                  <c:v>2017/18-2</c:v>
                </c:pt>
              </c:strCache>
            </c:strRef>
          </c:cat>
          <c:val>
            <c:numRef>
              <c:f>'Historic FI -Q2'!$B$23:$G$23</c:f>
              <c:numCache>
                <c:formatCode>General</c:formatCode>
                <c:ptCount val="6"/>
                <c:pt idx="0">
                  <c:v>71</c:v>
                </c:pt>
                <c:pt idx="1">
                  <c:v>62</c:v>
                </c:pt>
                <c:pt idx="2">
                  <c:v>57</c:v>
                </c:pt>
                <c:pt idx="3">
                  <c:v>53</c:v>
                </c:pt>
                <c:pt idx="4">
                  <c:v>73</c:v>
                </c:pt>
                <c:pt idx="5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21-4F85-8DC6-A7EB7BC30C35}"/>
            </c:ext>
          </c:extLst>
        </c:ser>
        <c:ser>
          <c:idx val="2"/>
          <c:order val="2"/>
          <c:tx>
            <c:strRef>
              <c:f>'Historic FI -Q2'!$A$24</c:f>
              <c:strCache>
                <c:ptCount val="1"/>
                <c:pt idx="0">
                  <c:v>Informàtica</c:v>
                </c:pt>
              </c:strCache>
            </c:strRef>
          </c:tx>
          <c:cat>
            <c:strRef>
              <c:f>'Historic FI -Q2'!$B$21:$G$21</c:f>
              <c:strCache>
                <c:ptCount val="6"/>
                <c:pt idx="0">
                  <c:v>2012/13-2</c:v>
                </c:pt>
                <c:pt idx="1">
                  <c:v>2013/14-2</c:v>
                </c:pt>
                <c:pt idx="2">
                  <c:v>2014/15-2</c:v>
                </c:pt>
                <c:pt idx="3">
                  <c:v>2015/16-2</c:v>
                </c:pt>
                <c:pt idx="4">
                  <c:v>2016/17-2</c:v>
                </c:pt>
                <c:pt idx="5">
                  <c:v>2017/18-2</c:v>
                </c:pt>
              </c:strCache>
            </c:strRef>
          </c:cat>
          <c:val>
            <c:numRef>
              <c:f>'Historic FI -Q2'!$B$24:$G$24</c:f>
              <c:numCache>
                <c:formatCode>General</c:formatCode>
                <c:ptCount val="6"/>
                <c:pt idx="0">
                  <c:v>22</c:v>
                </c:pt>
                <c:pt idx="1">
                  <c:v>19</c:v>
                </c:pt>
                <c:pt idx="2">
                  <c:v>14</c:v>
                </c:pt>
                <c:pt idx="3">
                  <c:v>9</c:v>
                </c:pt>
                <c:pt idx="4">
                  <c:v>15</c:v>
                </c:pt>
                <c:pt idx="5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721-4F85-8DC6-A7EB7BC30C35}"/>
            </c:ext>
          </c:extLst>
        </c:ser>
        <c:ser>
          <c:idx val="3"/>
          <c:order val="3"/>
          <c:tx>
            <c:strRef>
              <c:f>'Historic FI -Q2'!$A$25</c:f>
              <c:strCache>
                <c:ptCount val="1"/>
                <c:pt idx="0">
                  <c:v>Total aptes</c:v>
                </c:pt>
              </c:strCache>
            </c:strRef>
          </c:tx>
          <c:cat>
            <c:strRef>
              <c:f>'Historic FI -Q2'!$B$21:$G$21</c:f>
              <c:strCache>
                <c:ptCount val="6"/>
                <c:pt idx="0">
                  <c:v>2012/13-2</c:v>
                </c:pt>
                <c:pt idx="1">
                  <c:v>2013/14-2</c:v>
                </c:pt>
                <c:pt idx="2">
                  <c:v>2014/15-2</c:v>
                </c:pt>
                <c:pt idx="3">
                  <c:v>2015/16-2</c:v>
                </c:pt>
                <c:pt idx="4">
                  <c:v>2016/17-2</c:v>
                </c:pt>
                <c:pt idx="5">
                  <c:v>2017/18-2</c:v>
                </c:pt>
              </c:strCache>
            </c:strRef>
          </c:cat>
          <c:val>
            <c:numRef>
              <c:f>'Historic FI -Q2'!$B$25:$G$25</c:f>
              <c:numCache>
                <c:formatCode>General</c:formatCode>
                <c:ptCount val="6"/>
                <c:pt idx="0">
                  <c:v>191</c:v>
                </c:pt>
                <c:pt idx="1">
                  <c:v>201</c:v>
                </c:pt>
                <c:pt idx="2">
                  <c:v>151</c:v>
                </c:pt>
                <c:pt idx="3">
                  <c:v>127</c:v>
                </c:pt>
                <c:pt idx="4">
                  <c:v>156</c:v>
                </c:pt>
                <c:pt idx="5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721-4F85-8DC6-A7EB7BC30C35}"/>
            </c:ext>
          </c:extLst>
        </c:ser>
        <c:dLbls/>
        <c:marker val="1"/>
        <c:axId val="118014336"/>
        <c:axId val="118015872"/>
      </c:lineChart>
      <c:catAx>
        <c:axId val="11801433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8015872"/>
        <c:crosses val="autoZero"/>
        <c:auto val="1"/>
        <c:lblAlgn val="ctr"/>
        <c:lblOffset val="100"/>
      </c:catAx>
      <c:valAx>
        <c:axId val="1180158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801433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'Historic FI - Q1 i Q2'!$A$3</c:f>
              <c:strCache>
                <c:ptCount val="1"/>
                <c:pt idx="0">
                  <c:v>Area-Industrial</c:v>
                </c:pt>
              </c:strCache>
            </c:strRef>
          </c:tx>
          <c:cat>
            <c:strRef>
              <c:f>'Historic FI - Q1 i Q2'!$B$2:$L$2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Q2'!$B$3:$L$3</c:f>
              <c:numCache>
                <c:formatCode>0.00%</c:formatCode>
                <c:ptCount val="11"/>
                <c:pt idx="0">
                  <c:v>0.40663900414937759</c:v>
                </c:pt>
                <c:pt idx="1">
                  <c:v>0.43558282208588955</c:v>
                </c:pt>
                <c:pt idx="2">
                  <c:v>0.5357142857142857</c:v>
                </c:pt>
                <c:pt idx="3">
                  <c:v>0.50943396226415094</c:v>
                </c:pt>
                <c:pt idx="4">
                  <c:v>0.4</c:v>
                </c:pt>
                <c:pt idx="5">
                  <c:v>0.29464285714285715</c:v>
                </c:pt>
                <c:pt idx="6">
                  <c:v>0.54621848739495793</c:v>
                </c:pt>
                <c:pt idx="7">
                  <c:v>0.48979591836734693</c:v>
                </c:pt>
                <c:pt idx="8">
                  <c:v>0.31775700934579437</c:v>
                </c:pt>
                <c:pt idx="9">
                  <c:v>0.4942528735632184</c:v>
                </c:pt>
                <c:pt idx="10">
                  <c:v>0.34545454545454546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99-4A81-8EE1-E0FC91203252}"/>
            </c:ext>
          </c:extLst>
        </c:ser>
        <c:ser>
          <c:idx val="1"/>
          <c:order val="1"/>
          <c:tx>
            <c:strRef>
              <c:f>'Historic FI - Q1 i Q2'!$A$4</c:f>
              <c:strCache>
                <c:ptCount val="1"/>
                <c:pt idx="0">
                  <c:v>Disseny</c:v>
                </c:pt>
              </c:strCache>
            </c:strRef>
          </c:tx>
          <c:cat>
            <c:strRef>
              <c:f>'Historic FI - Q1 i Q2'!$B$2:$L$2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Q2'!$B$4:$L$4</c:f>
              <c:numCache>
                <c:formatCode>0.00%</c:formatCode>
                <c:ptCount val="11"/>
                <c:pt idx="0">
                  <c:v>0.66355140186915884</c:v>
                </c:pt>
                <c:pt idx="1">
                  <c:v>0.61702127659574468</c:v>
                </c:pt>
                <c:pt idx="2">
                  <c:v>0.61386138613861385</c:v>
                </c:pt>
                <c:pt idx="3">
                  <c:v>0.54545454545454541</c:v>
                </c:pt>
                <c:pt idx="4">
                  <c:v>0.51351351351351349</c:v>
                </c:pt>
                <c:pt idx="5">
                  <c:v>0.27906976744186046</c:v>
                </c:pt>
                <c:pt idx="6">
                  <c:v>0.61627906976744184</c:v>
                </c:pt>
                <c:pt idx="7">
                  <c:v>0.35555555555555557</c:v>
                </c:pt>
                <c:pt idx="8">
                  <c:v>0.52898550724637683</c:v>
                </c:pt>
                <c:pt idx="9">
                  <c:v>0.51923076923076927</c:v>
                </c:pt>
                <c:pt idx="10">
                  <c:v>0.60869565217391308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99-4A81-8EE1-E0FC91203252}"/>
            </c:ext>
          </c:extLst>
        </c:ser>
        <c:ser>
          <c:idx val="2"/>
          <c:order val="2"/>
          <c:tx>
            <c:strRef>
              <c:f>'Historic FI - Q1 i Q2'!$A$5</c:f>
              <c:strCache>
                <c:ptCount val="1"/>
                <c:pt idx="0">
                  <c:v>Informàtica</c:v>
                </c:pt>
              </c:strCache>
            </c:strRef>
          </c:tx>
          <c:cat>
            <c:strRef>
              <c:f>'Historic FI - Q1 i Q2'!$B$2:$L$2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Q2'!$B$5:$L$5</c:f>
              <c:numCache>
                <c:formatCode>0.00%</c:formatCode>
                <c:ptCount val="11"/>
                <c:pt idx="0">
                  <c:v>0.38596491228070173</c:v>
                </c:pt>
                <c:pt idx="1">
                  <c:v>0.5625</c:v>
                </c:pt>
                <c:pt idx="2">
                  <c:v>0.33333333333333331</c:v>
                </c:pt>
                <c:pt idx="3">
                  <c:v>0.26315789473684209</c:v>
                </c:pt>
                <c:pt idx="4">
                  <c:v>0.23728813559322035</c:v>
                </c:pt>
                <c:pt idx="5">
                  <c:v>0.5</c:v>
                </c:pt>
                <c:pt idx="6">
                  <c:v>0.3</c:v>
                </c:pt>
                <c:pt idx="7">
                  <c:v>0.34375</c:v>
                </c:pt>
                <c:pt idx="8">
                  <c:v>0.21739130434782608</c:v>
                </c:pt>
                <c:pt idx="9">
                  <c:v>0.46511627906976744</c:v>
                </c:pt>
                <c:pt idx="10">
                  <c:v>0.41025641025641024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99-4A81-8EE1-E0FC91203252}"/>
            </c:ext>
          </c:extLst>
        </c:ser>
        <c:ser>
          <c:idx val="3"/>
          <c:order val="3"/>
          <c:tx>
            <c:strRef>
              <c:f>'Historic FI - Q1 i Q2'!$A$6</c:f>
              <c:strCache>
                <c:ptCount val="1"/>
                <c:pt idx="0">
                  <c:v>% promig</c:v>
                </c:pt>
              </c:strCache>
            </c:strRef>
          </c:tx>
          <c:cat>
            <c:strRef>
              <c:f>'Historic FI - Q1 i Q2'!$B$2:$L$2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Q2'!$B$6:$L$6</c:f>
              <c:numCache>
                <c:formatCode>0.00%</c:formatCode>
                <c:ptCount val="11"/>
                <c:pt idx="0">
                  <c:v>0.485385106099746</c:v>
                </c:pt>
                <c:pt idx="1">
                  <c:v>0.53836803289387813</c:v>
                </c:pt>
                <c:pt idx="2">
                  <c:v>0.49430300172874425</c:v>
                </c:pt>
                <c:pt idx="3">
                  <c:v>0.43934880081851285</c:v>
                </c:pt>
                <c:pt idx="4">
                  <c:v>0.38360054970224461</c:v>
                </c:pt>
                <c:pt idx="5">
                  <c:v>0.35790420819490593</c:v>
                </c:pt>
                <c:pt idx="6">
                  <c:v>0.48749918572079998</c:v>
                </c:pt>
                <c:pt idx="7">
                  <c:v>0.39636715797430083</c:v>
                </c:pt>
                <c:pt idx="8">
                  <c:v>0.35471127364666577</c:v>
                </c:pt>
                <c:pt idx="9">
                  <c:v>0.49286664062125168</c:v>
                </c:pt>
                <c:pt idx="10">
                  <c:v>0.45480220262828963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499-4A81-8EE1-E0FC91203252}"/>
            </c:ext>
          </c:extLst>
        </c:ser>
        <c:dLbls/>
        <c:marker val="1"/>
        <c:axId val="118130176"/>
        <c:axId val="118131712"/>
      </c:lineChart>
      <c:catAx>
        <c:axId val="118130176"/>
        <c:scaling>
          <c:orientation val="minMax"/>
        </c:scaling>
        <c:axPos val="b"/>
        <c:numFmt formatCode="General" sourceLinked="0"/>
        <c:tickLblPos val="nextTo"/>
        <c:crossAx val="118131712"/>
        <c:crosses val="autoZero"/>
        <c:auto val="1"/>
        <c:lblAlgn val="ctr"/>
        <c:lblOffset val="100"/>
      </c:catAx>
      <c:valAx>
        <c:axId val="118131712"/>
        <c:scaling>
          <c:orientation val="minMax"/>
        </c:scaling>
        <c:axPos val="l"/>
        <c:majorGridlines/>
        <c:numFmt formatCode="0.00%" sourceLinked="1"/>
        <c:tickLblPos val="nextTo"/>
        <c:crossAx val="11813017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'Historic FI - Q1 i Q2'!$A$22</c:f>
              <c:strCache>
                <c:ptCount val="1"/>
                <c:pt idx="0">
                  <c:v>Area-Industrial</c:v>
                </c:pt>
              </c:strCache>
            </c:strRef>
          </c:tx>
          <c:cat>
            <c:strRef>
              <c:f>'Historic FI - Q1 i Q2'!$B$21:$L$21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Q2'!$B$22:$L$22</c:f>
              <c:numCache>
                <c:formatCode>General</c:formatCode>
                <c:ptCount val="11"/>
                <c:pt idx="0">
                  <c:v>98</c:v>
                </c:pt>
                <c:pt idx="1">
                  <c:v>71</c:v>
                </c:pt>
                <c:pt idx="2">
                  <c:v>120</c:v>
                </c:pt>
                <c:pt idx="3">
                  <c:v>54</c:v>
                </c:pt>
                <c:pt idx="4">
                  <c:v>80</c:v>
                </c:pt>
                <c:pt idx="5">
                  <c:v>37</c:v>
                </c:pt>
                <c:pt idx="6">
                  <c:v>65</c:v>
                </c:pt>
                <c:pt idx="7">
                  <c:v>48</c:v>
                </c:pt>
                <c:pt idx="8">
                  <c:v>68</c:v>
                </c:pt>
                <c:pt idx="9">
                  <c:v>71</c:v>
                </c:pt>
                <c:pt idx="10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95-4233-BE5A-AD984F03E0BA}"/>
            </c:ext>
          </c:extLst>
        </c:ser>
        <c:ser>
          <c:idx val="1"/>
          <c:order val="1"/>
          <c:tx>
            <c:strRef>
              <c:f>'Historic FI - Q1 i Q2'!$A$23</c:f>
              <c:strCache>
                <c:ptCount val="1"/>
                <c:pt idx="0">
                  <c:v>Disseny</c:v>
                </c:pt>
              </c:strCache>
            </c:strRef>
          </c:tx>
          <c:cat>
            <c:strRef>
              <c:f>'Historic FI - Q1 i Q2'!$B$21:$L$21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Q2'!$B$23:$L$23</c:f>
              <c:numCache>
                <c:formatCode>General</c:formatCode>
                <c:ptCount val="11"/>
                <c:pt idx="0">
                  <c:v>71</c:v>
                </c:pt>
                <c:pt idx="1">
                  <c:v>29</c:v>
                </c:pt>
                <c:pt idx="2">
                  <c:v>62</c:v>
                </c:pt>
                <c:pt idx="3">
                  <c:v>18</c:v>
                </c:pt>
                <c:pt idx="4">
                  <c:v>57</c:v>
                </c:pt>
                <c:pt idx="5">
                  <c:v>12</c:v>
                </c:pt>
                <c:pt idx="6">
                  <c:v>53</c:v>
                </c:pt>
                <c:pt idx="7">
                  <c:v>16</c:v>
                </c:pt>
                <c:pt idx="8">
                  <c:v>73</c:v>
                </c:pt>
                <c:pt idx="9">
                  <c:v>29</c:v>
                </c:pt>
                <c:pt idx="10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95-4233-BE5A-AD984F03E0BA}"/>
            </c:ext>
          </c:extLst>
        </c:ser>
        <c:ser>
          <c:idx val="2"/>
          <c:order val="2"/>
          <c:tx>
            <c:strRef>
              <c:f>'Historic FI - Q1 i Q2'!$A$24</c:f>
              <c:strCache>
                <c:ptCount val="1"/>
                <c:pt idx="0">
                  <c:v>Informàtica</c:v>
                </c:pt>
              </c:strCache>
            </c:strRef>
          </c:tx>
          <c:cat>
            <c:strRef>
              <c:f>'Historic FI - Q1 i Q2'!$B$21:$L$21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Q2'!$B$24:$L$24</c:f>
              <c:numCache>
                <c:formatCode>General</c:formatCode>
                <c:ptCount val="11"/>
                <c:pt idx="0">
                  <c:v>22</c:v>
                </c:pt>
                <c:pt idx="1">
                  <c:v>18</c:v>
                </c:pt>
                <c:pt idx="2">
                  <c:v>19</c:v>
                </c:pt>
                <c:pt idx="3">
                  <c:v>5</c:v>
                </c:pt>
                <c:pt idx="4">
                  <c:v>14</c:v>
                </c:pt>
                <c:pt idx="5">
                  <c:v>16</c:v>
                </c:pt>
                <c:pt idx="6">
                  <c:v>9</c:v>
                </c:pt>
                <c:pt idx="7">
                  <c:v>11</c:v>
                </c:pt>
                <c:pt idx="8">
                  <c:v>15</c:v>
                </c:pt>
                <c:pt idx="9">
                  <c:v>18</c:v>
                </c:pt>
                <c:pt idx="10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95-4233-BE5A-AD984F03E0BA}"/>
            </c:ext>
          </c:extLst>
        </c:ser>
        <c:ser>
          <c:idx val="3"/>
          <c:order val="3"/>
          <c:tx>
            <c:strRef>
              <c:f>'Historic FI - Q1 i Q2'!$A$25</c:f>
              <c:strCache>
                <c:ptCount val="1"/>
                <c:pt idx="0">
                  <c:v>Total aptes</c:v>
                </c:pt>
              </c:strCache>
            </c:strRef>
          </c:tx>
          <c:cat>
            <c:strRef>
              <c:f>'Historic FI - Q1 i Q2'!$B$21:$L$21</c:f>
              <c:strCache>
                <c:ptCount val="11"/>
                <c:pt idx="0">
                  <c:v>12/13-2</c:v>
                </c:pt>
                <c:pt idx="1">
                  <c:v>13/14-1</c:v>
                </c:pt>
                <c:pt idx="2">
                  <c:v>13/14-2</c:v>
                </c:pt>
                <c:pt idx="3">
                  <c:v>14/15-1</c:v>
                </c:pt>
                <c:pt idx="4">
                  <c:v>14/15-2</c:v>
                </c:pt>
                <c:pt idx="5">
                  <c:v>15/16-1</c:v>
                </c:pt>
                <c:pt idx="6">
                  <c:v>15/16-2</c:v>
                </c:pt>
                <c:pt idx="7">
                  <c:v>16/17-1</c:v>
                </c:pt>
                <c:pt idx="8">
                  <c:v>16/17-2</c:v>
                </c:pt>
                <c:pt idx="9">
                  <c:v>17/18-1</c:v>
                </c:pt>
                <c:pt idx="10">
                  <c:v>17/18-2</c:v>
                </c:pt>
              </c:strCache>
            </c:strRef>
          </c:cat>
          <c:val>
            <c:numRef>
              <c:f>'Historic FI - Q1 i Q2'!$B$25:$L$25</c:f>
              <c:numCache>
                <c:formatCode>General</c:formatCode>
                <c:ptCount val="11"/>
                <c:pt idx="0">
                  <c:v>191</c:v>
                </c:pt>
                <c:pt idx="1">
                  <c:v>118</c:v>
                </c:pt>
                <c:pt idx="2">
                  <c:v>201</c:v>
                </c:pt>
                <c:pt idx="3">
                  <c:v>77</c:v>
                </c:pt>
                <c:pt idx="4">
                  <c:v>151</c:v>
                </c:pt>
                <c:pt idx="5">
                  <c:v>65</c:v>
                </c:pt>
                <c:pt idx="6">
                  <c:v>127</c:v>
                </c:pt>
                <c:pt idx="7">
                  <c:v>75</c:v>
                </c:pt>
                <c:pt idx="8">
                  <c:v>156</c:v>
                </c:pt>
                <c:pt idx="9">
                  <c:v>118</c:v>
                </c:pt>
                <c:pt idx="10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95-4233-BE5A-AD984F03E0BA}"/>
            </c:ext>
          </c:extLst>
        </c:ser>
        <c:dLbls/>
        <c:marker val="1"/>
        <c:axId val="118239232"/>
        <c:axId val="118240768"/>
      </c:lineChart>
      <c:catAx>
        <c:axId val="118239232"/>
        <c:scaling>
          <c:orientation val="minMax"/>
        </c:scaling>
        <c:axPos val="b"/>
        <c:numFmt formatCode="General" sourceLinked="0"/>
        <c:tickLblPos val="nextTo"/>
        <c:crossAx val="118240768"/>
        <c:crosses val="autoZero"/>
        <c:auto val="1"/>
        <c:lblAlgn val="ctr"/>
        <c:lblOffset val="100"/>
      </c:catAx>
      <c:valAx>
        <c:axId val="118240768"/>
        <c:scaling>
          <c:orientation val="minMax"/>
        </c:scaling>
        <c:axPos val="l"/>
        <c:majorGridlines/>
        <c:numFmt formatCode="General" sourceLinked="1"/>
        <c:tickLblPos val="nextTo"/>
        <c:crossAx val="11823923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36634</xdr:colOff>
      <xdr:row>6</xdr:row>
      <xdr:rowOff>131884</xdr:rowOff>
    </xdr:from>
    <xdr:to>
      <xdr:col>11</xdr:col>
      <xdr:colOff>366346</xdr:colOff>
      <xdr:row>18</xdr:row>
      <xdr:rowOff>315058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51287</xdr:colOff>
      <xdr:row>25</xdr:row>
      <xdr:rowOff>183173</xdr:rowOff>
    </xdr:from>
    <xdr:to>
      <xdr:col>11</xdr:col>
      <xdr:colOff>388327</xdr:colOff>
      <xdr:row>43</xdr:row>
      <xdr:rowOff>36635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</xdr:row>
      <xdr:rowOff>152401</xdr:rowOff>
    </xdr:from>
    <xdr:to>
      <xdr:col>5</xdr:col>
      <xdr:colOff>800100</xdr:colOff>
      <xdr:row>17</xdr:row>
      <xdr:rowOff>190501</xdr:rowOff>
    </xdr:to>
    <xdr:graphicFrame macro="">
      <xdr:nvGraphicFramePr>
        <xdr:cNvPr id="10551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25</xdr:row>
      <xdr:rowOff>219076</xdr:rowOff>
    </xdr:from>
    <xdr:to>
      <xdr:col>5</xdr:col>
      <xdr:colOff>752474</xdr:colOff>
      <xdr:row>37</xdr:row>
      <xdr:rowOff>28576</xdr:rowOff>
    </xdr:to>
    <xdr:graphicFrame macro="">
      <xdr:nvGraphicFramePr>
        <xdr:cNvPr id="10551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6</xdr:row>
      <xdr:rowOff>228599</xdr:rowOff>
    </xdr:from>
    <xdr:to>
      <xdr:col>6</xdr:col>
      <xdr:colOff>628650</xdr:colOff>
      <xdr:row>18</xdr:row>
      <xdr:rowOff>200024</xdr:rowOff>
    </xdr:to>
    <xdr:graphicFrame macro="">
      <xdr:nvGraphicFramePr>
        <xdr:cNvPr id="11369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25</xdr:row>
      <xdr:rowOff>219075</xdr:rowOff>
    </xdr:from>
    <xdr:to>
      <xdr:col>6</xdr:col>
      <xdr:colOff>590550</xdr:colOff>
      <xdr:row>38</xdr:row>
      <xdr:rowOff>190500</xdr:rowOff>
    </xdr:to>
    <xdr:graphicFrame macro="">
      <xdr:nvGraphicFramePr>
        <xdr:cNvPr id="113700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36634</xdr:colOff>
      <xdr:row>6</xdr:row>
      <xdr:rowOff>131884</xdr:rowOff>
    </xdr:from>
    <xdr:to>
      <xdr:col>10</xdr:col>
      <xdr:colOff>366346</xdr:colOff>
      <xdr:row>18</xdr:row>
      <xdr:rowOff>315058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51287</xdr:colOff>
      <xdr:row>25</xdr:row>
      <xdr:rowOff>183173</xdr:rowOff>
    </xdr:from>
    <xdr:to>
      <xdr:col>10</xdr:col>
      <xdr:colOff>388327</xdr:colOff>
      <xdr:row>43</xdr:row>
      <xdr:rowOff>36635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workbookViewId="0"/>
  </sheetViews>
  <sheetFormatPr baseColWidth="10" defaultColWidth="11.42578125" defaultRowHeight="12.75"/>
  <cols>
    <col min="1" max="1" width="20.28515625" customWidth="1"/>
    <col min="2" max="2" width="10.7109375" customWidth="1"/>
    <col min="3" max="3" width="11.28515625" customWidth="1"/>
    <col min="4" max="19" width="9.7109375" customWidth="1"/>
  </cols>
  <sheetData>
    <row r="1" spans="1:19" ht="24" customHeight="1">
      <c r="A1" s="4" t="s">
        <v>17</v>
      </c>
      <c r="B1" s="4"/>
      <c r="C1" s="43"/>
      <c r="D1" s="171" t="s">
        <v>0</v>
      </c>
      <c r="E1" s="171"/>
      <c r="F1" s="171"/>
      <c r="G1" s="171"/>
      <c r="H1" s="172"/>
      <c r="I1" s="43"/>
      <c r="J1" s="173" t="s">
        <v>1</v>
      </c>
      <c r="K1" s="171"/>
      <c r="L1" s="171"/>
      <c r="M1" s="43"/>
      <c r="N1" s="173" t="s">
        <v>2</v>
      </c>
      <c r="O1" s="171"/>
      <c r="P1" s="171"/>
      <c r="Q1" s="173" t="s">
        <v>3</v>
      </c>
      <c r="R1" s="171"/>
      <c r="S1" s="172"/>
    </row>
    <row r="2" spans="1:19" ht="24" customHeight="1">
      <c r="A2" s="5" t="s">
        <v>22</v>
      </c>
      <c r="B2" s="46" t="s">
        <v>31</v>
      </c>
      <c r="C2" s="44" t="s">
        <v>29</v>
      </c>
      <c r="D2" s="31" t="s">
        <v>4</v>
      </c>
      <c r="E2" s="7" t="s">
        <v>18</v>
      </c>
      <c r="F2" s="6" t="s">
        <v>19</v>
      </c>
      <c r="G2" s="2" t="s">
        <v>6</v>
      </c>
      <c r="H2" s="3" t="s">
        <v>5</v>
      </c>
      <c r="I2" s="44" t="s">
        <v>29</v>
      </c>
      <c r="J2" s="1" t="s">
        <v>4</v>
      </c>
      <c r="K2" s="6" t="s">
        <v>20</v>
      </c>
      <c r="L2" s="3" t="s">
        <v>5</v>
      </c>
      <c r="M2" s="44" t="s">
        <v>29</v>
      </c>
      <c r="N2" s="1" t="s">
        <v>4</v>
      </c>
      <c r="O2" s="6" t="s">
        <v>20</v>
      </c>
      <c r="P2" s="3" t="s">
        <v>5</v>
      </c>
      <c r="Q2" s="1" t="s">
        <v>4</v>
      </c>
      <c r="R2" s="2" t="s">
        <v>6</v>
      </c>
      <c r="S2" s="3" t="s">
        <v>5</v>
      </c>
    </row>
    <row r="3" spans="1:19" ht="39.950000000000003" customHeight="1">
      <c r="A3" s="23" t="s">
        <v>10</v>
      </c>
      <c r="B3" s="75">
        <f>D3/C3</f>
        <v>0.37378640776699029</v>
      </c>
      <c r="C3" s="42">
        <f>SUM(D3:G3)</f>
        <v>206</v>
      </c>
      <c r="D3" s="8">
        <v>77</v>
      </c>
      <c r="E3" s="9">
        <v>30</v>
      </c>
      <c r="F3" s="10">
        <v>8</v>
      </c>
      <c r="G3" s="10">
        <v>91</v>
      </c>
      <c r="H3" s="11">
        <v>78</v>
      </c>
      <c r="I3" s="33">
        <f>SUM(J3:K3)</f>
        <v>15</v>
      </c>
      <c r="J3" s="8">
        <v>4</v>
      </c>
      <c r="K3" s="10">
        <v>11</v>
      </c>
      <c r="L3" s="11">
        <v>47</v>
      </c>
      <c r="M3" s="34"/>
      <c r="N3" s="12"/>
      <c r="O3" s="13"/>
      <c r="P3" s="14"/>
      <c r="Q3" s="12"/>
      <c r="R3" s="13"/>
      <c r="S3" s="14"/>
    </row>
    <row r="4" spans="1:19" ht="39.950000000000003" customHeight="1">
      <c r="A4" s="24" t="s">
        <v>9</v>
      </c>
      <c r="B4" s="76">
        <f>D4/C4</f>
        <v>0.47058823529411764</v>
      </c>
      <c r="C4" s="42">
        <f>SUM(D4:G4)</f>
        <v>17</v>
      </c>
      <c r="D4" s="15">
        <v>8</v>
      </c>
      <c r="E4" s="16">
        <v>1</v>
      </c>
      <c r="F4" s="17">
        <v>0</v>
      </c>
      <c r="G4" s="10">
        <v>8</v>
      </c>
      <c r="H4" s="11">
        <v>5</v>
      </c>
      <c r="I4" s="12"/>
      <c r="J4" s="12"/>
      <c r="K4" s="13"/>
      <c r="L4" s="14"/>
      <c r="M4" s="34"/>
      <c r="N4" s="12"/>
      <c r="O4" s="13"/>
      <c r="P4" s="14"/>
      <c r="Q4" s="12"/>
      <c r="R4" s="13"/>
      <c r="S4" s="14"/>
    </row>
    <row r="5" spans="1:19" ht="39.950000000000003" customHeight="1">
      <c r="A5" s="24" t="s">
        <v>7</v>
      </c>
      <c r="B5" s="76">
        <f>D5/C5</f>
        <v>0.5714285714285714</v>
      </c>
      <c r="C5" s="42">
        <f>SUM(D5:G5)</f>
        <v>7</v>
      </c>
      <c r="D5" s="15">
        <v>4</v>
      </c>
      <c r="E5" s="16">
        <v>0</v>
      </c>
      <c r="F5" s="17">
        <v>0</v>
      </c>
      <c r="G5" s="10">
        <v>3</v>
      </c>
      <c r="H5" s="11">
        <v>1</v>
      </c>
      <c r="I5" s="12"/>
      <c r="J5" s="12"/>
      <c r="K5" s="13"/>
      <c r="L5" s="14"/>
      <c r="M5" s="34"/>
      <c r="N5" s="12"/>
      <c r="O5" s="13"/>
      <c r="P5" s="14"/>
      <c r="Q5" s="12"/>
      <c r="R5" s="13"/>
      <c r="S5" s="14"/>
    </row>
    <row r="6" spans="1:19" ht="39.950000000000003" customHeight="1">
      <c r="A6" s="25" t="s">
        <v>8</v>
      </c>
      <c r="B6" s="77">
        <f>D6/C6</f>
        <v>0.81818181818181823</v>
      </c>
      <c r="C6" s="42">
        <f>SUM(D6:G6)</f>
        <v>11</v>
      </c>
      <c r="D6" s="15">
        <v>9</v>
      </c>
      <c r="E6" s="16">
        <v>0</v>
      </c>
      <c r="F6" s="17">
        <v>0</v>
      </c>
      <c r="G6" s="10">
        <v>2</v>
      </c>
      <c r="H6" s="11">
        <v>0</v>
      </c>
      <c r="I6" s="12"/>
      <c r="J6" s="12"/>
      <c r="K6" s="13"/>
      <c r="L6" s="14"/>
      <c r="M6" s="34"/>
      <c r="N6" s="12"/>
      <c r="O6" s="13"/>
      <c r="P6" s="14"/>
      <c r="Q6" s="12"/>
      <c r="R6" s="13"/>
      <c r="S6" s="14"/>
    </row>
    <row r="7" spans="1:19" ht="39.950000000000003" customHeight="1">
      <c r="A7" s="25" t="s">
        <v>30</v>
      </c>
      <c r="B7" s="78">
        <f>D7/C7</f>
        <v>0.40663900414937759</v>
      </c>
      <c r="C7" s="42">
        <f>SUM(D7:G7)</f>
        <v>241</v>
      </c>
      <c r="D7" s="15">
        <f>SUM(D3:D6)</f>
        <v>98</v>
      </c>
      <c r="E7" s="16">
        <f>SUM(E3:E6)</f>
        <v>31</v>
      </c>
      <c r="F7" s="16">
        <f>SUM(F3:F6)</f>
        <v>8</v>
      </c>
      <c r="G7" s="16">
        <f>SUM(G3:G6)</f>
        <v>104</v>
      </c>
      <c r="H7" s="16">
        <f>SUM(H3:H6)</f>
        <v>84</v>
      </c>
      <c r="I7" s="12"/>
      <c r="J7" s="12"/>
      <c r="K7" s="13"/>
      <c r="L7" s="14"/>
      <c r="M7" s="34"/>
      <c r="N7" s="12"/>
      <c r="O7" s="13"/>
      <c r="P7" s="14"/>
      <c r="Q7" s="12"/>
      <c r="R7" s="13"/>
      <c r="S7" s="14"/>
    </row>
    <row r="8" spans="1:19" ht="39.950000000000003" customHeight="1">
      <c r="A8" s="26" t="s">
        <v>12</v>
      </c>
      <c r="B8" s="79"/>
      <c r="C8" s="12"/>
      <c r="D8" s="12"/>
      <c r="E8" s="18"/>
      <c r="F8" s="13"/>
      <c r="G8" s="13"/>
      <c r="H8" s="14"/>
      <c r="I8" s="45">
        <f t="shared" ref="I8:I13" si="0">SUM(J8:K8)</f>
        <v>31</v>
      </c>
      <c r="J8" s="8">
        <v>16</v>
      </c>
      <c r="K8" s="10">
        <v>15</v>
      </c>
      <c r="L8" s="11">
        <v>15</v>
      </c>
      <c r="M8" s="33">
        <f>SUM(N8:O8)</f>
        <v>4</v>
      </c>
      <c r="N8" s="8">
        <v>4</v>
      </c>
      <c r="O8" s="10">
        <v>0</v>
      </c>
      <c r="P8" s="11">
        <v>31</v>
      </c>
      <c r="Q8" s="8"/>
      <c r="R8" s="10"/>
      <c r="S8" s="11"/>
    </row>
    <row r="9" spans="1:19" ht="39.950000000000003" customHeight="1">
      <c r="A9" s="26" t="s">
        <v>13</v>
      </c>
      <c r="B9" s="79"/>
      <c r="C9" s="12"/>
      <c r="D9" s="12"/>
      <c r="E9" s="18"/>
      <c r="F9" s="13"/>
      <c r="G9" s="13"/>
      <c r="H9" s="14"/>
      <c r="I9" s="45">
        <f t="shared" si="0"/>
        <v>20</v>
      </c>
      <c r="J9" s="8">
        <v>9</v>
      </c>
      <c r="K9" s="10">
        <v>11</v>
      </c>
      <c r="L9" s="11">
        <v>11</v>
      </c>
      <c r="M9" s="33">
        <f>SUM(N9:O9)</f>
        <v>13</v>
      </c>
      <c r="N9" s="8">
        <v>13</v>
      </c>
      <c r="O9" s="10">
        <v>0</v>
      </c>
      <c r="P9" s="11">
        <v>25</v>
      </c>
      <c r="Q9" s="8"/>
      <c r="R9" s="10"/>
      <c r="S9" s="11"/>
    </row>
    <row r="10" spans="1:19" ht="39.950000000000003" customHeight="1">
      <c r="A10" s="26" t="s">
        <v>11</v>
      </c>
      <c r="B10" s="79"/>
      <c r="C10" s="12"/>
      <c r="D10" s="12"/>
      <c r="E10" s="18"/>
      <c r="F10" s="13"/>
      <c r="G10" s="13"/>
      <c r="H10" s="14"/>
      <c r="I10" s="45">
        <f t="shared" si="0"/>
        <v>97</v>
      </c>
      <c r="J10" s="8">
        <v>35</v>
      </c>
      <c r="K10" s="10">
        <v>62</v>
      </c>
      <c r="L10" s="11">
        <v>47</v>
      </c>
      <c r="M10" s="33">
        <f>SUM(N10:O10)</f>
        <v>9</v>
      </c>
      <c r="N10" s="8">
        <v>9</v>
      </c>
      <c r="O10" s="10">
        <v>0</v>
      </c>
      <c r="P10" s="11">
        <v>114</v>
      </c>
      <c r="Q10" s="8"/>
      <c r="R10" s="10"/>
      <c r="S10" s="11"/>
    </row>
    <row r="11" spans="1:19" ht="39.950000000000003" customHeight="1">
      <c r="A11" s="26" t="s">
        <v>14</v>
      </c>
      <c r="B11" s="78">
        <f>D11/C11</f>
        <v>0.66355140186915884</v>
      </c>
      <c r="C11" s="42">
        <f>SUM(D11:G11)</f>
        <v>107</v>
      </c>
      <c r="D11" s="19">
        <v>71</v>
      </c>
      <c r="E11" s="20">
        <v>7</v>
      </c>
      <c r="F11" s="21">
        <v>5</v>
      </c>
      <c r="G11" s="21">
        <v>24</v>
      </c>
      <c r="H11" s="22">
        <v>23</v>
      </c>
      <c r="I11" s="45">
        <f t="shared" si="0"/>
        <v>93</v>
      </c>
      <c r="J11" s="8">
        <v>59</v>
      </c>
      <c r="K11" s="10">
        <v>34</v>
      </c>
      <c r="L11" s="11">
        <v>42</v>
      </c>
      <c r="M11" s="33">
        <f>SUM(N11:O11)</f>
        <v>13</v>
      </c>
      <c r="N11" s="19">
        <v>12</v>
      </c>
      <c r="O11" s="21">
        <v>1</v>
      </c>
      <c r="P11" s="22">
        <v>83</v>
      </c>
      <c r="Q11" s="19"/>
      <c r="R11" s="21"/>
      <c r="S11" s="22"/>
    </row>
    <row r="12" spans="1:19" ht="39.950000000000003" customHeight="1">
      <c r="A12" s="26" t="s">
        <v>15</v>
      </c>
      <c r="B12" s="78">
        <f>D12/C12</f>
        <v>0.38596491228070173</v>
      </c>
      <c r="C12" s="42">
        <f>SUM(D12:G12)</f>
        <v>57</v>
      </c>
      <c r="D12" s="8">
        <v>22</v>
      </c>
      <c r="E12" s="9">
        <v>20</v>
      </c>
      <c r="F12" s="10">
        <v>5</v>
      </c>
      <c r="G12" s="10">
        <v>10</v>
      </c>
      <c r="H12" s="11">
        <v>20</v>
      </c>
      <c r="I12" s="45">
        <f t="shared" si="0"/>
        <v>14</v>
      </c>
      <c r="J12" s="8">
        <v>8</v>
      </c>
      <c r="K12" s="10">
        <v>6</v>
      </c>
      <c r="L12" s="11">
        <v>27</v>
      </c>
      <c r="M12" s="13"/>
      <c r="N12" s="12"/>
      <c r="O12" s="13"/>
      <c r="P12" s="14"/>
      <c r="Q12" s="12"/>
      <c r="R12" s="13"/>
      <c r="S12" s="14"/>
    </row>
    <row r="13" spans="1:19" ht="39.950000000000003" customHeight="1">
      <c r="A13" s="26" t="s">
        <v>16</v>
      </c>
      <c r="B13" s="69">
        <f>D13/C13</f>
        <v>0.66666666666666663</v>
      </c>
      <c r="C13" s="37">
        <f>SUM(D13:G13)</f>
        <v>6</v>
      </c>
      <c r="D13" s="8">
        <v>4</v>
      </c>
      <c r="E13" s="9">
        <v>0</v>
      </c>
      <c r="F13" s="10">
        <v>1</v>
      </c>
      <c r="G13" s="10">
        <v>1</v>
      </c>
      <c r="H13" s="11">
        <v>0</v>
      </c>
      <c r="I13" s="45">
        <f t="shared" si="0"/>
        <v>15</v>
      </c>
      <c r="J13" s="8">
        <v>5</v>
      </c>
      <c r="K13" s="10">
        <v>10</v>
      </c>
      <c r="L13" s="11">
        <v>8</v>
      </c>
      <c r="M13" s="13"/>
      <c r="N13" s="12"/>
      <c r="O13" s="13"/>
      <c r="P13" s="14"/>
      <c r="Q13" s="12"/>
      <c r="R13" s="13"/>
      <c r="S13" s="14"/>
    </row>
    <row r="16" spans="1:19">
      <c r="A16" s="27"/>
      <c r="B16" s="27"/>
      <c r="C16" s="27"/>
    </row>
  </sheetData>
  <mergeCells count="4">
    <mergeCell ref="D1:H1"/>
    <mergeCell ref="J1:L1"/>
    <mergeCell ref="N1:P1"/>
    <mergeCell ref="Q1:S1"/>
  </mergeCells>
  <phoneticPr fontId="1" type="noConversion"/>
  <pageMargins left="0.41" right="0.34" top="1" bottom="1" header="0" footer="0"/>
  <pageSetup paperSize="9" scale="7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selection activeCell="D7" sqref="D7"/>
    </sheetView>
  </sheetViews>
  <sheetFormatPr baseColWidth="10" defaultColWidth="11.42578125" defaultRowHeight="12.75"/>
  <cols>
    <col min="1" max="1" width="24.7109375" customWidth="1"/>
  </cols>
  <sheetData>
    <row r="1" spans="1:15" ht="39.950000000000003" customHeight="1">
      <c r="A1" s="4" t="s">
        <v>17</v>
      </c>
      <c r="B1" s="4"/>
      <c r="C1" s="173" t="s">
        <v>0</v>
      </c>
      <c r="D1" s="171"/>
      <c r="E1" s="171"/>
      <c r="F1" s="171"/>
      <c r="G1" s="171"/>
      <c r="H1" s="172"/>
      <c r="I1" s="30"/>
      <c r="J1" s="171" t="s">
        <v>2</v>
      </c>
      <c r="K1" s="171"/>
      <c r="L1" s="171"/>
      <c r="M1" s="173" t="s">
        <v>3</v>
      </c>
      <c r="N1" s="171"/>
      <c r="O1" s="172"/>
    </row>
    <row r="2" spans="1:15" ht="39.950000000000003" customHeight="1">
      <c r="A2" s="5" t="s">
        <v>62</v>
      </c>
      <c r="B2" s="46" t="s">
        <v>47</v>
      </c>
      <c r="C2" s="36" t="s">
        <v>25</v>
      </c>
      <c r="D2" s="31" t="s">
        <v>4</v>
      </c>
      <c r="E2" s="7" t="s">
        <v>18</v>
      </c>
      <c r="F2" s="6" t="s">
        <v>19</v>
      </c>
      <c r="G2" s="2" t="s">
        <v>6</v>
      </c>
      <c r="H2" s="3" t="s">
        <v>5</v>
      </c>
      <c r="I2" s="35" t="s">
        <v>25</v>
      </c>
      <c r="J2" s="1" t="s">
        <v>4</v>
      </c>
      <c r="K2" s="6" t="s">
        <v>20</v>
      </c>
      <c r="L2" s="3" t="s">
        <v>5</v>
      </c>
      <c r="M2" s="1" t="s">
        <v>4</v>
      </c>
      <c r="N2" s="2" t="s">
        <v>6</v>
      </c>
      <c r="O2" s="3" t="s">
        <v>5</v>
      </c>
    </row>
    <row r="3" spans="1:15" ht="39.950000000000003" customHeight="1">
      <c r="A3" s="23" t="s">
        <v>10</v>
      </c>
      <c r="B3" s="69">
        <f>D3/C3</f>
        <v>0.45652173913043476</v>
      </c>
      <c r="C3" s="116">
        <f>SUM(D3:G3)</f>
        <v>46</v>
      </c>
      <c r="D3" s="9">
        <f>4+2+15</f>
        <v>21</v>
      </c>
      <c r="E3" s="9">
        <v>0</v>
      </c>
      <c r="F3" s="10">
        <v>4</v>
      </c>
      <c r="G3" s="10">
        <f>1+1+19</f>
        <v>21</v>
      </c>
      <c r="H3" s="11">
        <v>141</v>
      </c>
      <c r="I3" s="34"/>
      <c r="J3" s="12"/>
      <c r="K3" s="13"/>
      <c r="L3" s="14"/>
      <c r="M3" s="66"/>
      <c r="N3" s="67"/>
      <c r="O3" s="68"/>
    </row>
    <row r="4" spans="1:15" ht="39.950000000000003" customHeight="1">
      <c r="A4" s="24" t="s">
        <v>26</v>
      </c>
      <c r="B4" s="69">
        <f>D4/C4</f>
        <v>0.66666666666666663</v>
      </c>
      <c r="C4" s="116">
        <f t="shared" ref="C4:C12" si="0">SUM(D4:G4)</f>
        <v>21</v>
      </c>
      <c r="D4" s="9">
        <f>10+1+3</f>
        <v>14</v>
      </c>
      <c r="E4" s="9">
        <v>0</v>
      </c>
      <c r="F4" s="10">
        <v>0</v>
      </c>
      <c r="G4" s="10">
        <f>1+4+2</f>
        <v>7</v>
      </c>
      <c r="H4" s="11">
        <v>16</v>
      </c>
      <c r="I4" s="34"/>
      <c r="J4" s="12"/>
      <c r="K4" s="13"/>
      <c r="L4" s="14"/>
      <c r="M4" s="66"/>
      <c r="N4" s="67"/>
      <c r="O4" s="68"/>
    </row>
    <row r="5" spans="1:15" ht="39.950000000000003" customHeight="1">
      <c r="A5" s="24" t="s">
        <v>7</v>
      </c>
      <c r="B5" s="69">
        <f>D5/C5</f>
        <v>0.44444444444444442</v>
      </c>
      <c r="C5" s="116">
        <f t="shared" si="0"/>
        <v>9</v>
      </c>
      <c r="D5" s="9">
        <f>2+1+1</f>
        <v>4</v>
      </c>
      <c r="E5" s="9">
        <v>0</v>
      </c>
      <c r="F5" s="10">
        <v>2</v>
      </c>
      <c r="G5" s="10">
        <f>0+0+3</f>
        <v>3</v>
      </c>
      <c r="H5" s="11">
        <v>5</v>
      </c>
      <c r="I5" s="34"/>
      <c r="J5" s="12"/>
      <c r="K5" s="13"/>
      <c r="L5" s="14"/>
      <c r="M5" s="66"/>
      <c r="N5" s="67"/>
      <c r="O5" s="68"/>
    </row>
    <row r="6" spans="1:15" ht="39.950000000000003" customHeight="1">
      <c r="A6" s="25" t="s">
        <v>8</v>
      </c>
      <c r="B6" s="69">
        <f>D6/C6</f>
        <v>0.36363636363636365</v>
      </c>
      <c r="C6" s="116">
        <f t="shared" si="0"/>
        <v>11</v>
      </c>
      <c r="D6" s="9">
        <f>0+2+2</f>
        <v>4</v>
      </c>
      <c r="E6" s="9">
        <v>0</v>
      </c>
      <c r="F6" s="10">
        <v>0</v>
      </c>
      <c r="G6" s="10">
        <f>2+0+5</f>
        <v>7</v>
      </c>
      <c r="H6" s="11">
        <v>4</v>
      </c>
      <c r="I6" s="34"/>
      <c r="J6" s="12"/>
      <c r="K6" s="13"/>
      <c r="L6" s="14"/>
      <c r="M6" s="66"/>
      <c r="N6" s="67"/>
      <c r="O6" s="68"/>
    </row>
    <row r="7" spans="1:15" ht="39.950000000000003" customHeight="1">
      <c r="A7" s="25" t="s">
        <v>30</v>
      </c>
      <c r="B7" s="70">
        <f>D7/C7</f>
        <v>0.4942528735632184</v>
      </c>
      <c r="C7" s="116">
        <f t="shared" ref="C7:H7" si="1">SUM(C3:C6)</f>
        <v>87</v>
      </c>
      <c r="D7" s="117">
        <f t="shared" si="1"/>
        <v>43</v>
      </c>
      <c r="E7" s="117">
        <f t="shared" si="1"/>
        <v>0</v>
      </c>
      <c r="F7" s="117">
        <f t="shared" si="1"/>
        <v>6</v>
      </c>
      <c r="G7" s="117">
        <f t="shared" si="1"/>
        <v>38</v>
      </c>
      <c r="H7" s="118">
        <f t="shared" si="1"/>
        <v>166</v>
      </c>
      <c r="I7" s="34"/>
      <c r="J7" s="12"/>
      <c r="K7" s="13"/>
      <c r="L7" s="14"/>
      <c r="M7" s="66"/>
      <c r="N7" s="67"/>
      <c r="O7" s="68"/>
    </row>
    <row r="8" spans="1:15" ht="39.950000000000003" customHeight="1">
      <c r="A8" s="26" t="s">
        <v>12</v>
      </c>
      <c r="B8" s="71"/>
      <c r="C8" s="12"/>
      <c r="D8" s="18"/>
      <c r="E8" s="18"/>
      <c r="F8" s="13"/>
      <c r="G8" s="13"/>
      <c r="H8" s="14"/>
      <c r="I8" s="119">
        <f t="shared" ref="I8:I12" si="2">SUM(J8:K8)</f>
        <v>6</v>
      </c>
      <c r="J8" s="8">
        <v>3</v>
      </c>
      <c r="K8" s="10">
        <v>3</v>
      </c>
      <c r="L8" s="11">
        <v>55</v>
      </c>
      <c r="M8" s="155"/>
      <c r="N8" s="156"/>
      <c r="O8" s="157"/>
    </row>
    <row r="9" spans="1:15" ht="39.950000000000003" customHeight="1">
      <c r="A9" s="26" t="s">
        <v>13</v>
      </c>
      <c r="B9" s="71"/>
      <c r="C9" s="12"/>
      <c r="D9" s="18"/>
      <c r="E9" s="18"/>
      <c r="F9" s="13"/>
      <c r="G9" s="13"/>
      <c r="H9" s="14"/>
      <c r="I9" s="119">
        <f t="shared" si="2"/>
        <v>2</v>
      </c>
      <c r="J9" s="8">
        <v>0</v>
      </c>
      <c r="K9" s="10">
        <v>2</v>
      </c>
      <c r="L9" s="11">
        <v>100</v>
      </c>
      <c r="M9" s="155"/>
      <c r="N9" s="156"/>
      <c r="O9" s="157"/>
    </row>
    <row r="10" spans="1:15" ht="39.950000000000003" customHeight="1">
      <c r="A10" s="26" t="s">
        <v>11</v>
      </c>
      <c r="B10" s="71"/>
      <c r="C10" s="12"/>
      <c r="D10" s="18"/>
      <c r="E10" s="18"/>
      <c r="F10" s="13"/>
      <c r="G10" s="13"/>
      <c r="H10" s="14"/>
      <c r="I10" s="119">
        <f>SUM(J10:K10)</f>
        <v>36</v>
      </c>
      <c r="J10" s="8">
        <v>14</v>
      </c>
      <c r="K10" s="10">
        <v>22</v>
      </c>
      <c r="L10" s="11">
        <v>269</v>
      </c>
      <c r="M10" s="155"/>
      <c r="N10" s="156"/>
      <c r="O10" s="157"/>
    </row>
    <row r="11" spans="1:15" ht="39.950000000000003" customHeight="1">
      <c r="A11" s="26" t="s">
        <v>14</v>
      </c>
      <c r="B11" s="70">
        <f>D11/C11</f>
        <v>0.51923076923076927</v>
      </c>
      <c r="C11" s="116">
        <f t="shared" si="0"/>
        <v>52</v>
      </c>
      <c r="D11" s="20">
        <f>6+7+14</f>
        <v>27</v>
      </c>
      <c r="E11" s="20">
        <v>0</v>
      </c>
      <c r="F11" s="21">
        <v>2</v>
      </c>
      <c r="G11" s="21">
        <f>1+6+16</f>
        <v>23</v>
      </c>
      <c r="H11" s="22">
        <v>114</v>
      </c>
      <c r="I11" s="119">
        <f t="shared" si="2"/>
        <v>27</v>
      </c>
      <c r="J11" s="19">
        <v>10</v>
      </c>
      <c r="K11" s="21">
        <v>17</v>
      </c>
      <c r="L11" s="22">
        <v>270</v>
      </c>
      <c r="M11" s="155"/>
      <c r="N11" s="156"/>
      <c r="O11" s="157"/>
    </row>
    <row r="12" spans="1:15" ht="39.950000000000003" customHeight="1">
      <c r="A12" s="26" t="s">
        <v>15</v>
      </c>
      <c r="B12" s="69">
        <f>D12/C12</f>
        <v>0.46511627906976744</v>
      </c>
      <c r="C12" s="116">
        <f t="shared" si="0"/>
        <v>43</v>
      </c>
      <c r="D12" s="20">
        <f>10+4+6</f>
        <v>20</v>
      </c>
      <c r="E12" s="20">
        <v>0</v>
      </c>
      <c r="F12" s="21">
        <v>6</v>
      </c>
      <c r="G12" s="21">
        <f>1+6+10</f>
        <v>17</v>
      </c>
      <c r="H12" s="22">
        <v>67</v>
      </c>
      <c r="I12" s="119">
        <f t="shared" si="2"/>
        <v>2</v>
      </c>
      <c r="J12" s="19">
        <v>2</v>
      </c>
      <c r="K12" s="21">
        <v>0</v>
      </c>
      <c r="L12" s="22">
        <v>86</v>
      </c>
      <c r="M12" s="155"/>
      <c r="N12" s="156"/>
      <c r="O12" s="157"/>
    </row>
    <row r="13" spans="1:15" ht="39.950000000000003" customHeight="1"/>
    <row r="14" spans="1:15" ht="39.950000000000003" customHeight="1"/>
    <row r="15" spans="1:15" ht="39.950000000000003" customHeight="1"/>
    <row r="16" spans="1:15" ht="39.950000000000003" customHeight="1"/>
    <row r="17" ht="39.950000000000003" customHeight="1"/>
    <row r="18" ht="39.950000000000003" customHeight="1"/>
    <row r="19" ht="39.950000000000003" customHeight="1"/>
    <row r="20" ht="39.950000000000003" customHeight="1"/>
    <row r="21" ht="39.950000000000003" customHeight="1"/>
    <row r="22" ht="39.950000000000003" customHeight="1"/>
    <row r="23" ht="39.950000000000003" customHeight="1"/>
    <row r="24" ht="39.950000000000003" customHeight="1"/>
    <row r="25" ht="39.950000000000003" customHeight="1"/>
  </sheetData>
  <mergeCells count="3">
    <mergeCell ref="C1:H1"/>
    <mergeCell ref="J1:L1"/>
    <mergeCell ref="M1:O1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"/>
  <sheetViews>
    <sheetView tabSelected="1" workbookViewId="0"/>
  </sheetViews>
  <sheetFormatPr baseColWidth="10" defaultColWidth="9.140625" defaultRowHeight="12.75"/>
  <cols>
    <col min="1" max="1" width="24.7109375" customWidth="1"/>
  </cols>
  <sheetData>
    <row r="1" spans="1:15" ht="39.950000000000003" customHeight="1">
      <c r="A1" s="4" t="s">
        <v>17</v>
      </c>
      <c r="B1" s="4"/>
      <c r="C1" s="173" t="s">
        <v>0</v>
      </c>
      <c r="D1" s="171"/>
      <c r="E1" s="171"/>
      <c r="F1" s="171"/>
      <c r="G1" s="171"/>
      <c r="H1" s="172"/>
      <c r="I1" s="170"/>
      <c r="J1" s="171" t="s">
        <v>2</v>
      </c>
      <c r="K1" s="171"/>
      <c r="L1" s="171"/>
      <c r="M1" s="173" t="s">
        <v>3</v>
      </c>
      <c r="N1" s="171"/>
      <c r="O1" s="172"/>
    </row>
    <row r="2" spans="1:15" ht="39.950000000000003" customHeight="1">
      <c r="A2" s="5" t="s">
        <v>76</v>
      </c>
      <c r="B2" s="46" t="s">
        <v>32</v>
      </c>
      <c r="C2" s="36" t="s">
        <v>25</v>
      </c>
      <c r="D2" s="31" t="s">
        <v>4</v>
      </c>
      <c r="E2" s="7" t="s">
        <v>18</v>
      </c>
      <c r="F2" s="6" t="s">
        <v>19</v>
      </c>
      <c r="G2" s="2" t="s">
        <v>6</v>
      </c>
      <c r="H2" s="3" t="s">
        <v>5</v>
      </c>
      <c r="I2" s="35" t="s">
        <v>25</v>
      </c>
      <c r="J2" s="1" t="s">
        <v>4</v>
      </c>
      <c r="K2" s="6" t="s">
        <v>20</v>
      </c>
      <c r="L2" s="3" t="s">
        <v>5</v>
      </c>
      <c r="M2" s="1" t="s">
        <v>4</v>
      </c>
      <c r="N2" s="2" t="s">
        <v>6</v>
      </c>
      <c r="O2" s="3" t="s">
        <v>5</v>
      </c>
    </row>
    <row r="3" spans="1:15" ht="39.950000000000003" customHeight="1">
      <c r="A3" s="120" t="s">
        <v>10</v>
      </c>
      <c r="B3" s="121">
        <f>D3/C3</f>
        <v>0.26724137931034481</v>
      </c>
      <c r="C3" s="122">
        <f>SUM(D3:G3)</f>
        <v>116</v>
      </c>
      <c r="D3" s="123">
        <f>12+8+11</f>
        <v>31</v>
      </c>
      <c r="E3" s="123">
        <v>31</v>
      </c>
      <c r="F3" s="124">
        <v>19</v>
      </c>
      <c r="G3" s="124">
        <f>30+3+2</f>
        <v>35</v>
      </c>
      <c r="H3" s="125">
        <v>51</v>
      </c>
      <c r="I3" s="126"/>
      <c r="J3" s="127"/>
      <c r="K3" s="128"/>
      <c r="L3" s="129"/>
      <c r="M3" s="130"/>
      <c r="N3" s="131"/>
      <c r="O3" s="132"/>
    </row>
    <row r="4" spans="1:15" ht="39.950000000000003" customHeight="1">
      <c r="A4" s="133" t="s">
        <v>26</v>
      </c>
      <c r="B4" s="121">
        <f t="shared" ref="B4:B12" si="0">D4/C4</f>
        <v>0.61538461538461542</v>
      </c>
      <c r="C4" s="122">
        <f>SUM(D4:G4)</f>
        <v>26</v>
      </c>
      <c r="D4" s="123">
        <f>11+3+2</f>
        <v>16</v>
      </c>
      <c r="E4" s="123">
        <v>4</v>
      </c>
      <c r="F4" s="124">
        <v>2</v>
      </c>
      <c r="G4" s="124">
        <f>3+1</f>
        <v>4</v>
      </c>
      <c r="H4" s="125">
        <v>8</v>
      </c>
      <c r="I4" s="134"/>
      <c r="J4" s="135"/>
      <c r="K4" s="136"/>
      <c r="L4" s="137"/>
      <c r="M4" s="130"/>
      <c r="N4" s="131"/>
      <c r="O4" s="132"/>
    </row>
    <row r="5" spans="1:15" ht="39.950000000000003" customHeight="1">
      <c r="A5" s="133" t="s">
        <v>7</v>
      </c>
      <c r="B5" s="121">
        <f t="shared" si="0"/>
        <v>0.2857142857142857</v>
      </c>
      <c r="C5" s="122">
        <f>SUM(D5:G5)</f>
        <v>7</v>
      </c>
      <c r="D5" s="123">
        <v>2</v>
      </c>
      <c r="E5" s="123">
        <v>1</v>
      </c>
      <c r="F5" s="124">
        <v>2</v>
      </c>
      <c r="G5" s="124">
        <v>2</v>
      </c>
      <c r="H5" s="125">
        <v>2</v>
      </c>
      <c r="I5" s="134"/>
      <c r="J5" s="135"/>
      <c r="K5" s="136"/>
      <c r="L5" s="137"/>
      <c r="M5" s="130"/>
      <c r="N5" s="131"/>
      <c r="O5" s="132"/>
    </row>
    <row r="6" spans="1:15" ht="39.950000000000003" customHeight="1">
      <c r="A6" s="138" t="s">
        <v>8</v>
      </c>
      <c r="B6" s="121">
        <f t="shared" si="0"/>
        <v>0.5</v>
      </c>
      <c r="C6" s="122">
        <f>SUM(D6:G6)</f>
        <v>16</v>
      </c>
      <c r="D6" s="123">
        <f>5+1+2</f>
        <v>8</v>
      </c>
      <c r="E6" s="123">
        <v>0</v>
      </c>
      <c r="F6" s="124">
        <v>5</v>
      </c>
      <c r="G6" s="124">
        <f>2+1</f>
        <v>3</v>
      </c>
      <c r="H6" s="125">
        <v>2</v>
      </c>
      <c r="I6" s="134"/>
      <c r="J6" s="135"/>
      <c r="K6" s="136"/>
      <c r="L6" s="137"/>
      <c r="M6" s="130"/>
      <c r="N6" s="131"/>
      <c r="O6" s="132"/>
    </row>
    <row r="7" spans="1:15" ht="39.950000000000003" customHeight="1">
      <c r="A7" s="138" t="s">
        <v>30</v>
      </c>
      <c r="B7" s="121">
        <f t="shared" si="0"/>
        <v>0.34545454545454546</v>
      </c>
      <c r="C7" s="122">
        <f t="shared" ref="C7:H7" si="1">SUM(C3:C6)</f>
        <v>165</v>
      </c>
      <c r="D7" s="139">
        <f t="shared" si="1"/>
        <v>57</v>
      </c>
      <c r="E7" s="140">
        <f t="shared" si="1"/>
        <v>36</v>
      </c>
      <c r="F7" s="140">
        <f t="shared" si="1"/>
        <v>28</v>
      </c>
      <c r="G7" s="140">
        <f t="shared" si="1"/>
        <v>44</v>
      </c>
      <c r="H7" s="141">
        <f t="shared" si="1"/>
        <v>63</v>
      </c>
      <c r="I7" s="134"/>
      <c r="J7" s="135"/>
      <c r="K7" s="136"/>
      <c r="L7" s="137"/>
      <c r="M7" s="130"/>
      <c r="N7" s="131"/>
      <c r="O7" s="132"/>
    </row>
    <row r="8" spans="1:15" ht="39.950000000000003" customHeight="1">
      <c r="A8" s="142" t="s">
        <v>12</v>
      </c>
      <c r="B8" s="121"/>
      <c r="C8" s="135"/>
      <c r="D8" s="143"/>
      <c r="E8" s="143"/>
      <c r="F8" s="136"/>
      <c r="G8" s="136"/>
      <c r="H8" s="137"/>
      <c r="I8" s="144">
        <f t="shared" ref="I8:I12" si="2">SUM(J8:K8)</f>
        <v>12</v>
      </c>
      <c r="J8" s="145">
        <v>8</v>
      </c>
      <c r="K8" s="124">
        <v>4</v>
      </c>
      <c r="L8" s="125">
        <v>48</v>
      </c>
      <c r="M8" s="146"/>
      <c r="N8" s="147"/>
      <c r="O8" s="148"/>
    </row>
    <row r="9" spans="1:15" ht="39.950000000000003" customHeight="1">
      <c r="A9" s="142" t="s">
        <v>13</v>
      </c>
      <c r="B9" s="121"/>
      <c r="C9" s="135"/>
      <c r="D9" s="143"/>
      <c r="E9" s="143"/>
      <c r="F9" s="136"/>
      <c r="G9" s="136"/>
      <c r="H9" s="137"/>
      <c r="I9" s="144">
        <f t="shared" si="2"/>
        <v>14</v>
      </c>
      <c r="J9" s="145">
        <f>1+3+3</f>
        <v>7</v>
      </c>
      <c r="K9" s="124">
        <f>2+5</f>
        <v>7</v>
      </c>
      <c r="L9" s="125">
        <v>92</v>
      </c>
      <c r="M9" s="146"/>
      <c r="N9" s="147"/>
      <c r="O9" s="148"/>
    </row>
    <row r="10" spans="1:15" ht="39.950000000000003" customHeight="1">
      <c r="A10" s="142" t="s">
        <v>11</v>
      </c>
      <c r="B10" s="121"/>
      <c r="C10" s="135"/>
      <c r="D10" s="143"/>
      <c r="E10" s="143"/>
      <c r="F10" s="136"/>
      <c r="G10" s="136"/>
      <c r="H10" s="137"/>
      <c r="I10" s="144">
        <f>SUM(J10:K10)</f>
        <v>42</v>
      </c>
      <c r="J10" s="145">
        <f>1+6+9</f>
        <v>16</v>
      </c>
      <c r="K10" s="124">
        <f>4+22</f>
        <v>26</v>
      </c>
      <c r="L10" s="125">
        <v>252</v>
      </c>
      <c r="M10" s="146"/>
      <c r="N10" s="147"/>
      <c r="O10" s="148"/>
    </row>
    <row r="11" spans="1:15" ht="39.950000000000003" customHeight="1">
      <c r="A11" s="142" t="s">
        <v>14</v>
      </c>
      <c r="B11" s="121">
        <f t="shared" si="0"/>
        <v>0.60869565217391308</v>
      </c>
      <c r="C11" s="122">
        <f>SUM(D11:G11)</f>
        <v>92</v>
      </c>
      <c r="D11" s="149">
        <f>17+18+21</f>
        <v>56</v>
      </c>
      <c r="E11" s="149">
        <v>9</v>
      </c>
      <c r="F11" s="149">
        <v>9</v>
      </c>
      <c r="G11" s="149">
        <f>15+2+1</f>
        <v>18</v>
      </c>
      <c r="H11" s="149">
        <v>44</v>
      </c>
      <c r="I11" s="144">
        <f t="shared" si="2"/>
        <v>50</v>
      </c>
      <c r="J11" s="150">
        <f>9+13+14</f>
        <v>36</v>
      </c>
      <c r="K11" s="151">
        <f>5+9</f>
        <v>14</v>
      </c>
      <c r="L11" s="152">
        <v>229</v>
      </c>
      <c r="M11" s="146"/>
      <c r="N11" s="147"/>
      <c r="O11" s="148"/>
    </row>
    <row r="12" spans="1:15" ht="39.950000000000003" customHeight="1">
      <c r="A12" s="142" t="s">
        <v>15</v>
      </c>
      <c r="B12" s="121">
        <f t="shared" si="0"/>
        <v>0.41025641025641024</v>
      </c>
      <c r="C12" s="122">
        <f>SUM(D12:G12)</f>
        <v>78</v>
      </c>
      <c r="D12" s="149">
        <v>32</v>
      </c>
      <c r="E12" s="149">
        <v>12</v>
      </c>
      <c r="F12" s="149">
        <v>18</v>
      </c>
      <c r="G12" s="149">
        <v>16</v>
      </c>
      <c r="H12" s="149">
        <v>16</v>
      </c>
      <c r="I12" s="144">
        <f t="shared" si="2"/>
        <v>7</v>
      </c>
      <c r="J12" s="150">
        <v>4</v>
      </c>
      <c r="K12" s="151">
        <v>3</v>
      </c>
      <c r="L12" s="152">
        <v>75</v>
      </c>
      <c r="M12" s="146"/>
      <c r="N12" s="147"/>
      <c r="O12" s="148"/>
    </row>
  </sheetData>
  <mergeCells count="3">
    <mergeCell ref="C1:H1"/>
    <mergeCell ref="J1:L1"/>
    <mergeCell ref="M1:O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view="pageLayout" topLeftCell="A7" zoomScale="130" zoomScaleNormal="100" zoomScalePageLayoutView="130" workbookViewId="0">
      <selection activeCell="B22" sqref="B22"/>
    </sheetView>
  </sheetViews>
  <sheetFormatPr baseColWidth="10" defaultColWidth="1.5703125" defaultRowHeight="12.75"/>
  <cols>
    <col min="1" max="1" width="22.7109375" customWidth="1"/>
    <col min="2" max="6" width="7" style="55" customWidth="1"/>
    <col min="7" max="12" width="7" customWidth="1"/>
    <col min="13" max="16" width="10" customWidth="1"/>
  </cols>
  <sheetData>
    <row r="1" spans="1:12" s="53" customFormat="1" ht="21" customHeight="1">
      <c r="A1" s="64" t="s">
        <v>49</v>
      </c>
      <c r="B1" s="56"/>
      <c r="C1" s="56"/>
      <c r="D1" s="56"/>
      <c r="E1" s="56"/>
      <c r="F1" s="56"/>
    </row>
    <row r="2" spans="1:12" ht="23.25" customHeight="1">
      <c r="A2" s="65" t="s">
        <v>38</v>
      </c>
      <c r="B2" s="153" t="s">
        <v>65</v>
      </c>
      <c r="C2" s="154" t="s">
        <v>66</v>
      </c>
      <c r="D2" s="153" t="s">
        <v>67</v>
      </c>
      <c r="E2" s="154" t="s">
        <v>68</v>
      </c>
      <c r="F2" s="153" t="s">
        <v>69</v>
      </c>
      <c r="G2" s="154" t="s">
        <v>70</v>
      </c>
      <c r="H2" s="153" t="s">
        <v>71</v>
      </c>
      <c r="I2" s="154" t="s">
        <v>72</v>
      </c>
      <c r="J2" s="58" t="s">
        <v>73</v>
      </c>
      <c r="K2" s="154" t="s">
        <v>74</v>
      </c>
      <c r="L2" s="58" t="s">
        <v>75</v>
      </c>
    </row>
    <row r="3" spans="1:12" ht="18" customHeight="1">
      <c r="A3" s="57" t="s">
        <v>36</v>
      </c>
      <c r="B3" s="59">
        <v>0.40663900414937759</v>
      </c>
      <c r="C3" s="113">
        <v>0.43558282208588955</v>
      </c>
      <c r="D3" s="59">
        <v>0.5357142857142857</v>
      </c>
      <c r="E3" s="113">
        <v>0.50943396226415094</v>
      </c>
      <c r="F3" s="59">
        <v>0.4</v>
      </c>
      <c r="G3" s="113">
        <v>0.29464285714285715</v>
      </c>
      <c r="H3" s="59">
        <f>'Graus juliol 2016'!B7</f>
        <v>0.54621848739495793</v>
      </c>
      <c r="I3" s="113">
        <f>'Graus febrer 2017'!B7</f>
        <v>0.48979591836734693</v>
      </c>
      <c r="J3" s="59">
        <f>'Graus juliol 2017'!B7</f>
        <v>0.31775700934579437</v>
      </c>
      <c r="K3" s="113">
        <f>'Graus febrer 2018'!B7</f>
        <v>0.4942528735632184</v>
      </c>
      <c r="L3" s="59">
        <f>'Graus juliol 2018'!B7</f>
        <v>0.34545454545454546</v>
      </c>
    </row>
    <row r="4" spans="1:12" ht="18" customHeight="1">
      <c r="A4" s="57" t="s">
        <v>35</v>
      </c>
      <c r="B4" s="59">
        <v>0.66355140186915884</v>
      </c>
      <c r="C4" s="113">
        <v>0.61702127659574468</v>
      </c>
      <c r="D4" s="59">
        <v>0.61386138613861385</v>
      </c>
      <c r="E4" s="113">
        <v>0.54545454545454541</v>
      </c>
      <c r="F4" s="59">
        <v>0.51351351351351349</v>
      </c>
      <c r="G4" s="113">
        <v>0.27906976744186046</v>
      </c>
      <c r="H4" s="59">
        <f>'Graus juliol 2016'!B11</f>
        <v>0.61627906976744184</v>
      </c>
      <c r="I4" s="113">
        <f>'Graus febrer 2017'!B11</f>
        <v>0.35555555555555557</v>
      </c>
      <c r="J4" s="59">
        <f>'Graus juliol 2017'!B11</f>
        <v>0.52898550724637683</v>
      </c>
      <c r="K4" s="113">
        <f>'Graus febrer 2018'!B11</f>
        <v>0.51923076923076927</v>
      </c>
      <c r="L4" s="59">
        <f>'Graus juliol 2018'!B11</f>
        <v>0.60869565217391308</v>
      </c>
    </row>
    <row r="5" spans="1:12" ht="18" customHeight="1">
      <c r="A5" s="57" t="s">
        <v>34</v>
      </c>
      <c r="B5" s="59">
        <v>0.38596491228070173</v>
      </c>
      <c r="C5" s="113">
        <v>0.5625</v>
      </c>
      <c r="D5" s="59">
        <v>0.33333333333333331</v>
      </c>
      <c r="E5" s="113">
        <v>0.26315789473684209</v>
      </c>
      <c r="F5" s="59">
        <v>0.23728813559322035</v>
      </c>
      <c r="G5" s="113">
        <v>0.5</v>
      </c>
      <c r="H5" s="59">
        <f>'Graus juliol 2016'!B12</f>
        <v>0.3</v>
      </c>
      <c r="I5" s="113">
        <f>'Graus febrer 2017'!B12</f>
        <v>0.34375</v>
      </c>
      <c r="J5" s="59">
        <f>'Graus juliol 2017'!B12</f>
        <v>0.21739130434782608</v>
      </c>
      <c r="K5" s="113">
        <f>'Graus febrer 2018'!B12</f>
        <v>0.46511627906976744</v>
      </c>
      <c r="L5" s="59">
        <f>'Graus juliol 2018'!B12</f>
        <v>0.41025641025641024</v>
      </c>
    </row>
    <row r="6" spans="1:12" ht="18" customHeight="1">
      <c r="A6" s="61" t="s">
        <v>40</v>
      </c>
      <c r="B6" s="115">
        <f t="shared" ref="B6:J6" si="0">(B3+B4+B5)/3</f>
        <v>0.485385106099746</v>
      </c>
      <c r="C6" s="114">
        <f t="shared" si="0"/>
        <v>0.53836803289387813</v>
      </c>
      <c r="D6" s="115">
        <f t="shared" si="0"/>
        <v>0.49430300172874425</v>
      </c>
      <c r="E6" s="114">
        <f t="shared" si="0"/>
        <v>0.43934880081851285</v>
      </c>
      <c r="F6" s="115">
        <f t="shared" si="0"/>
        <v>0.38360054970224461</v>
      </c>
      <c r="G6" s="114">
        <f t="shared" si="0"/>
        <v>0.35790420819490593</v>
      </c>
      <c r="H6" s="115">
        <f t="shared" si="0"/>
        <v>0.48749918572079998</v>
      </c>
      <c r="I6" s="114">
        <f t="shared" si="0"/>
        <v>0.39636715797430083</v>
      </c>
      <c r="J6" s="112">
        <f t="shared" si="0"/>
        <v>0.35471127364666577</v>
      </c>
      <c r="K6" s="114">
        <f t="shared" ref="K6:L6" si="1">(K3+K4+K5)/3</f>
        <v>0.49286664062125168</v>
      </c>
      <c r="L6" s="112">
        <f t="shared" si="1"/>
        <v>0.45480220262828963</v>
      </c>
    </row>
    <row r="7" spans="1:12" ht="18" customHeight="1">
      <c r="A7" s="61"/>
      <c r="B7" s="63"/>
      <c r="C7" s="63"/>
      <c r="D7" s="63"/>
      <c r="E7" s="63"/>
      <c r="F7" s="63"/>
    </row>
    <row r="8" spans="1:12" ht="18" customHeight="1">
      <c r="A8" s="61"/>
      <c r="B8" s="63"/>
      <c r="C8" s="63"/>
      <c r="D8" s="63"/>
      <c r="E8" s="63"/>
      <c r="F8" s="63"/>
    </row>
    <row r="9" spans="1:12" ht="18" customHeight="1">
      <c r="A9" s="61"/>
      <c r="B9" s="63"/>
      <c r="C9" s="63"/>
      <c r="D9" s="63"/>
      <c r="E9" s="63"/>
      <c r="F9" s="63"/>
    </row>
    <row r="10" spans="1:12" ht="18" customHeight="1">
      <c r="A10" s="61"/>
      <c r="B10" s="63"/>
      <c r="C10" s="63"/>
      <c r="D10" s="63"/>
      <c r="E10" s="63"/>
      <c r="F10" s="63"/>
    </row>
    <row r="11" spans="1:12" ht="18" customHeight="1">
      <c r="A11" s="61"/>
      <c r="B11" s="63"/>
      <c r="C11" s="63"/>
      <c r="D11" s="63"/>
      <c r="E11" s="63"/>
      <c r="F11" s="63"/>
    </row>
    <row r="12" spans="1:12" ht="18" customHeight="1">
      <c r="A12" s="61"/>
      <c r="B12" s="63"/>
      <c r="C12" s="63"/>
      <c r="D12" s="63"/>
      <c r="E12" s="63"/>
      <c r="F12" s="63"/>
    </row>
    <row r="13" spans="1:12" ht="18" customHeight="1">
      <c r="A13" s="61"/>
      <c r="B13" s="63"/>
      <c r="C13" s="63"/>
      <c r="D13" s="63"/>
      <c r="E13" s="63"/>
      <c r="F13" s="63"/>
    </row>
    <row r="14" spans="1:12" ht="18" customHeight="1">
      <c r="A14" s="61"/>
      <c r="B14" s="63"/>
      <c r="C14" s="63"/>
      <c r="D14" s="63"/>
      <c r="E14" s="63"/>
      <c r="F14" s="63"/>
    </row>
    <row r="15" spans="1:12" ht="18" customHeight="1">
      <c r="A15" s="61"/>
      <c r="B15" s="63"/>
      <c r="C15" s="63"/>
      <c r="D15" s="63"/>
      <c r="E15" s="63"/>
      <c r="F15" s="63"/>
    </row>
    <row r="16" spans="1:12" ht="18" customHeight="1">
      <c r="A16" s="61"/>
      <c r="B16" s="63"/>
      <c r="C16" s="63"/>
      <c r="D16" s="63"/>
      <c r="E16" s="63"/>
      <c r="F16" s="63"/>
    </row>
    <row r="17" spans="1:12" ht="18" customHeight="1">
      <c r="A17" s="61"/>
      <c r="B17" s="63"/>
      <c r="C17" s="63"/>
      <c r="D17" s="63"/>
      <c r="E17" s="63"/>
      <c r="F17" s="63"/>
    </row>
    <row r="18" spans="1:12" ht="18" customHeight="1">
      <c r="A18" s="61"/>
      <c r="B18" s="63"/>
      <c r="C18" s="63"/>
      <c r="D18" s="63"/>
      <c r="E18" s="63"/>
      <c r="F18" s="63"/>
    </row>
    <row r="19" spans="1:12" ht="104.25" customHeight="1">
      <c r="A19" s="52"/>
    </row>
    <row r="20" spans="1:12" ht="18" customHeight="1">
      <c r="A20" s="64" t="s">
        <v>41</v>
      </c>
    </row>
    <row r="21" spans="1:12" ht="18" customHeight="1">
      <c r="A21" s="65" t="s">
        <v>37</v>
      </c>
      <c r="B21" s="153" t="s">
        <v>65</v>
      </c>
      <c r="C21" s="110" t="s">
        <v>66</v>
      </c>
      <c r="D21" s="58" t="s">
        <v>67</v>
      </c>
      <c r="E21" s="110" t="s">
        <v>68</v>
      </c>
      <c r="F21" s="58" t="s">
        <v>69</v>
      </c>
      <c r="G21" s="110" t="s">
        <v>70</v>
      </c>
      <c r="H21" s="58" t="s">
        <v>71</v>
      </c>
      <c r="I21" s="110" t="s">
        <v>72</v>
      </c>
      <c r="J21" s="58" t="s">
        <v>73</v>
      </c>
      <c r="K21" s="110" t="s">
        <v>74</v>
      </c>
      <c r="L21" s="58" t="s">
        <v>75</v>
      </c>
    </row>
    <row r="22" spans="1:12" ht="18" customHeight="1">
      <c r="A22" s="54" t="s">
        <v>36</v>
      </c>
      <c r="B22" s="60">
        <v>98</v>
      </c>
      <c r="C22" s="109">
        <v>71</v>
      </c>
      <c r="D22" s="60">
        <v>120</v>
      </c>
      <c r="E22" s="109">
        <v>54</v>
      </c>
      <c r="F22" s="60">
        <v>80</v>
      </c>
      <c r="G22" s="109">
        <v>37</v>
      </c>
      <c r="H22" s="60">
        <f>'Graus juliol 2016'!D7</f>
        <v>65</v>
      </c>
      <c r="I22" s="109">
        <f>'Graus febrer 2017'!D7</f>
        <v>48</v>
      </c>
      <c r="J22" s="60">
        <f>'Graus juliol 2017'!D7</f>
        <v>68</v>
      </c>
      <c r="K22" s="109">
        <v>71</v>
      </c>
      <c r="L22" s="60">
        <f>'Graus juliol 2018'!D7</f>
        <v>57</v>
      </c>
    </row>
    <row r="23" spans="1:12" ht="18" customHeight="1">
      <c r="A23" s="54" t="s">
        <v>35</v>
      </c>
      <c r="B23" s="60">
        <v>71</v>
      </c>
      <c r="C23" s="109">
        <v>29</v>
      </c>
      <c r="D23" s="60">
        <v>62</v>
      </c>
      <c r="E23" s="109">
        <v>18</v>
      </c>
      <c r="F23" s="60">
        <v>57</v>
      </c>
      <c r="G23" s="109">
        <v>12</v>
      </c>
      <c r="H23" s="60">
        <f>'Graus juliol 2016'!D11</f>
        <v>53</v>
      </c>
      <c r="I23" s="109">
        <f>'Graus febrer 2017'!D11</f>
        <v>16</v>
      </c>
      <c r="J23" s="60">
        <f>'Graus juliol 2017'!D11</f>
        <v>73</v>
      </c>
      <c r="K23" s="109">
        <v>29</v>
      </c>
      <c r="L23" s="60">
        <f>'Graus juliol 2018'!D11</f>
        <v>56</v>
      </c>
    </row>
    <row r="24" spans="1:12" ht="18" customHeight="1">
      <c r="A24" s="54" t="s">
        <v>34</v>
      </c>
      <c r="B24" s="60">
        <v>22</v>
      </c>
      <c r="C24" s="109">
        <v>18</v>
      </c>
      <c r="D24" s="60">
        <v>19</v>
      </c>
      <c r="E24" s="109">
        <v>5</v>
      </c>
      <c r="F24" s="60">
        <v>14</v>
      </c>
      <c r="G24" s="109">
        <v>16</v>
      </c>
      <c r="H24" s="60">
        <f>'Graus juliol 2016'!D12</f>
        <v>9</v>
      </c>
      <c r="I24" s="109">
        <f>'Graus febrer 2017'!D12</f>
        <v>11</v>
      </c>
      <c r="J24" s="60">
        <f>'Graus juliol 2017'!D12</f>
        <v>15</v>
      </c>
      <c r="K24" s="109">
        <v>18</v>
      </c>
      <c r="L24" s="60">
        <f>'Graus juliol 2018'!D12</f>
        <v>32</v>
      </c>
    </row>
    <row r="25" spans="1:12" ht="18" customHeight="1">
      <c r="A25" s="61" t="s">
        <v>39</v>
      </c>
      <c r="B25" s="56">
        <f t="shared" ref="B25:J25" si="2">SUM(B22:B24)</f>
        <v>191</v>
      </c>
      <c r="C25" s="111">
        <f t="shared" si="2"/>
        <v>118</v>
      </c>
      <c r="D25" s="56">
        <f t="shared" si="2"/>
        <v>201</v>
      </c>
      <c r="E25" s="111">
        <f t="shared" si="2"/>
        <v>77</v>
      </c>
      <c r="F25" s="56">
        <f t="shared" si="2"/>
        <v>151</v>
      </c>
      <c r="G25" s="111">
        <f t="shared" si="2"/>
        <v>65</v>
      </c>
      <c r="H25" s="56">
        <f t="shared" si="2"/>
        <v>127</v>
      </c>
      <c r="I25" s="111">
        <f t="shared" si="2"/>
        <v>75</v>
      </c>
      <c r="J25" s="62">
        <f t="shared" si="2"/>
        <v>156</v>
      </c>
      <c r="K25" s="111">
        <f t="shared" ref="K25:L25" si="3">SUM(K22:K24)</f>
        <v>118</v>
      </c>
      <c r="L25" s="62">
        <f t="shared" si="3"/>
        <v>145</v>
      </c>
    </row>
    <row r="26" spans="1:12" ht="18" customHeight="1"/>
    <row r="27" spans="1:12" ht="18" customHeight="1"/>
  </sheetData>
  <pageMargins left="0.51181102362204722" right="0.31496062992125984" top="0.56000000000000005" bottom="0.55118110236220474" header="0.31496062992125984" footer="0.31496062992125984"/>
  <pageSetup paperSize="9" scale="9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workbookViewId="0">
      <selection activeCell="A2" sqref="A2"/>
    </sheetView>
  </sheetViews>
  <sheetFormatPr baseColWidth="10" defaultColWidth="11.42578125" defaultRowHeight="12.75"/>
  <cols>
    <col min="1" max="1" width="27.85546875" customWidth="1"/>
    <col min="2" max="3" width="12.7109375" style="55" customWidth="1"/>
    <col min="4" max="6" width="12.7109375" customWidth="1"/>
  </cols>
  <sheetData>
    <row r="1" spans="1:6" ht="18" customHeight="1">
      <c r="A1" s="64" t="s">
        <v>48</v>
      </c>
      <c r="B1" s="56"/>
      <c r="C1" s="56"/>
      <c r="D1" s="53"/>
      <c r="E1" s="53"/>
      <c r="F1" s="53"/>
    </row>
    <row r="2" spans="1:6" ht="25.5" customHeight="1">
      <c r="A2" s="65" t="s">
        <v>52</v>
      </c>
      <c r="B2" s="110" t="s">
        <v>53</v>
      </c>
      <c r="C2" s="110" t="s">
        <v>54</v>
      </c>
      <c r="D2" s="110" t="s">
        <v>55</v>
      </c>
      <c r="E2" s="110" t="s">
        <v>56</v>
      </c>
      <c r="F2" s="110" t="s">
        <v>63</v>
      </c>
    </row>
    <row r="3" spans="1:6" ht="18" customHeight="1">
      <c r="A3" s="57" t="s">
        <v>36</v>
      </c>
      <c r="B3" s="113">
        <v>0.43558282208588955</v>
      </c>
      <c r="C3" s="113">
        <v>0.50943396226415094</v>
      </c>
      <c r="D3" s="113">
        <v>0.29464285714285715</v>
      </c>
      <c r="E3" s="113">
        <f>'Graus febrer 2017'!B7</f>
        <v>0.48979591836734693</v>
      </c>
      <c r="F3" s="113">
        <v>0.49430000000000002</v>
      </c>
    </row>
    <row r="4" spans="1:6" ht="18" customHeight="1">
      <c r="A4" s="57" t="s">
        <v>35</v>
      </c>
      <c r="B4" s="113">
        <v>0.61702127659574468</v>
      </c>
      <c r="C4" s="113">
        <v>0.54545454545454541</v>
      </c>
      <c r="D4" s="113">
        <v>0.27906976744186046</v>
      </c>
      <c r="E4" s="113">
        <f>'Graus febrer 2017'!B11</f>
        <v>0.35555555555555557</v>
      </c>
      <c r="F4" s="113">
        <v>0.51919999999999999</v>
      </c>
    </row>
    <row r="5" spans="1:6" ht="18" customHeight="1">
      <c r="A5" s="57" t="s">
        <v>34</v>
      </c>
      <c r="B5" s="113">
        <v>0.5625</v>
      </c>
      <c r="C5" s="113">
        <v>0.26315789473684209</v>
      </c>
      <c r="D5" s="113">
        <v>0.5</v>
      </c>
      <c r="E5" s="113">
        <f>'Graus febrer 2017'!B12</f>
        <v>0.34375</v>
      </c>
      <c r="F5" s="113">
        <v>0.46510000000000001</v>
      </c>
    </row>
    <row r="6" spans="1:6" ht="18" customHeight="1">
      <c r="A6" s="61" t="s">
        <v>40</v>
      </c>
      <c r="B6" s="114">
        <f>(B3+B4+B5)/3</f>
        <v>0.53836803289387813</v>
      </c>
      <c r="C6" s="114">
        <f>(C3+C4+C5)/3</f>
        <v>0.43934880081851285</v>
      </c>
      <c r="D6" s="114">
        <f>(D3+D4+D5)/3</f>
        <v>0.35790420819490593</v>
      </c>
      <c r="E6" s="114">
        <f>(E3+E4+E5)/3</f>
        <v>0.39636715797430083</v>
      </c>
      <c r="F6" s="114">
        <f>(F3+F4+F5)/3</f>
        <v>0.49286666666666673</v>
      </c>
    </row>
    <row r="7" spans="1:6" ht="18" customHeight="1">
      <c r="A7" s="61"/>
      <c r="B7" s="63"/>
      <c r="C7" s="63"/>
    </row>
    <row r="8" spans="1:6" ht="18" customHeight="1">
      <c r="A8" s="61"/>
      <c r="B8" s="63"/>
      <c r="C8" s="63"/>
    </row>
    <row r="9" spans="1:6" ht="18" customHeight="1">
      <c r="A9" s="61"/>
      <c r="B9" s="63"/>
      <c r="C9" s="63"/>
    </row>
    <row r="10" spans="1:6" ht="18" customHeight="1">
      <c r="A10" s="61"/>
      <c r="B10" s="63"/>
      <c r="C10" s="63"/>
    </row>
    <row r="11" spans="1:6" ht="18" customHeight="1">
      <c r="A11" s="61"/>
      <c r="B11" s="63"/>
      <c r="C11" s="63"/>
    </row>
    <row r="12" spans="1:6" ht="18" customHeight="1">
      <c r="A12" s="61"/>
      <c r="B12" s="63"/>
      <c r="C12" s="63"/>
    </row>
    <row r="13" spans="1:6" ht="18" customHeight="1">
      <c r="A13" s="61"/>
      <c r="B13" s="63"/>
      <c r="C13" s="63"/>
    </row>
    <row r="14" spans="1:6" ht="18" customHeight="1">
      <c r="A14" s="61"/>
      <c r="B14" s="63"/>
      <c r="C14" s="63"/>
    </row>
    <row r="15" spans="1:6" ht="18" customHeight="1">
      <c r="A15" s="61"/>
      <c r="B15" s="63"/>
      <c r="C15" s="63"/>
    </row>
    <row r="16" spans="1:6" ht="18" customHeight="1">
      <c r="A16" s="61"/>
      <c r="B16" s="63"/>
      <c r="C16" s="63"/>
    </row>
    <row r="17" spans="1:6" ht="18" customHeight="1">
      <c r="A17" s="61"/>
      <c r="B17" s="63"/>
      <c r="C17" s="63"/>
    </row>
    <row r="18" spans="1:6" ht="18" customHeight="1">
      <c r="A18" s="61"/>
      <c r="B18" s="63"/>
      <c r="C18" s="63"/>
    </row>
    <row r="19" spans="1:6" ht="12.75" customHeight="1">
      <c r="A19" s="52"/>
    </row>
    <row r="20" spans="1:6" ht="21" customHeight="1">
      <c r="A20" s="64" t="s">
        <v>48</v>
      </c>
    </row>
    <row r="21" spans="1:6" ht="18" customHeight="1">
      <c r="A21" s="65" t="s">
        <v>51</v>
      </c>
      <c r="B21" s="110" t="s">
        <v>53</v>
      </c>
      <c r="C21" s="110" t="s">
        <v>54</v>
      </c>
      <c r="D21" s="110" t="s">
        <v>55</v>
      </c>
      <c r="E21" s="110" t="s">
        <v>56</v>
      </c>
      <c r="F21" s="154" t="s">
        <v>63</v>
      </c>
    </row>
    <row r="22" spans="1:6" ht="18" customHeight="1">
      <c r="A22" s="54" t="s">
        <v>36</v>
      </c>
      <c r="B22" s="109">
        <v>71</v>
      </c>
      <c r="C22" s="109">
        <v>54</v>
      </c>
      <c r="D22" s="109">
        <v>37</v>
      </c>
      <c r="E22" s="109">
        <f>'Graus febrer 2017'!D7</f>
        <v>48</v>
      </c>
      <c r="F22" s="109">
        <v>43</v>
      </c>
    </row>
    <row r="23" spans="1:6" ht="18" customHeight="1">
      <c r="A23" s="54" t="s">
        <v>35</v>
      </c>
      <c r="B23" s="109">
        <v>29</v>
      </c>
      <c r="C23" s="109">
        <v>18</v>
      </c>
      <c r="D23" s="109">
        <v>12</v>
      </c>
      <c r="E23" s="109">
        <f>'Graus febrer 2017'!D11</f>
        <v>16</v>
      </c>
      <c r="F23" s="109">
        <v>27</v>
      </c>
    </row>
    <row r="24" spans="1:6" ht="18" customHeight="1">
      <c r="A24" s="54" t="s">
        <v>34</v>
      </c>
      <c r="B24" s="109">
        <v>18</v>
      </c>
      <c r="C24" s="109">
        <v>5</v>
      </c>
      <c r="D24" s="109">
        <v>16</v>
      </c>
      <c r="E24" s="109">
        <f>'Graus febrer 2017'!D12</f>
        <v>11</v>
      </c>
      <c r="F24" s="109">
        <v>20</v>
      </c>
    </row>
    <row r="25" spans="1:6" ht="18" customHeight="1">
      <c r="A25" s="61" t="s">
        <v>39</v>
      </c>
      <c r="B25" s="111">
        <f>SUM(B22:B24)</f>
        <v>118</v>
      </c>
      <c r="C25" s="111">
        <f>SUM(C22:C24)</f>
        <v>77</v>
      </c>
      <c r="D25" s="111">
        <f>SUM(D22:D24)</f>
        <v>65</v>
      </c>
      <c r="E25" s="111">
        <f>SUM(E22:E24)</f>
        <v>75</v>
      </c>
      <c r="F25" s="111">
        <f>SUM(F22:F24)</f>
        <v>90</v>
      </c>
    </row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pageMargins left="0.51181102362204722" right="0.31496062992125984" top="0.74803149606299213" bottom="0.55118110236220474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2"/>
  <sheetViews>
    <sheetView zoomScaleNormal="100" zoomScalePageLayoutView="115" workbookViewId="0">
      <selection activeCell="A2" sqref="A2"/>
    </sheetView>
  </sheetViews>
  <sheetFormatPr baseColWidth="10" defaultColWidth="11.42578125" defaultRowHeight="12.75"/>
  <cols>
    <col min="1" max="1" width="27.85546875" customWidth="1"/>
    <col min="2" max="3" width="12.7109375" style="55" customWidth="1"/>
    <col min="4" max="4" width="13.140625" style="55" customWidth="1"/>
    <col min="5" max="7" width="12.7109375" customWidth="1"/>
  </cols>
  <sheetData>
    <row r="1" spans="1:7" ht="18" customHeight="1">
      <c r="A1" s="64" t="s">
        <v>50</v>
      </c>
      <c r="B1" s="56"/>
      <c r="C1" s="56"/>
      <c r="D1" s="56"/>
      <c r="E1" s="53"/>
      <c r="F1" s="53"/>
    </row>
    <row r="2" spans="1:7" ht="26.25" customHeight="1">
      <c r="A2" s="65" t="s">
        <v>52</v>
      </c>
      <c r="B2" s="58" t="s">
        <v>57</v>
      </c>
      <c r="C2" s="58" t="s">
        <v>58</v>
      </c>
      <c r="D2" s="58" t="s">
        <v>59</v>
      </c>
      <c r="E2" s="58" t="s">
        <v>60</v>
      </c>
      <c r="F2" s="58" t="s">
        <v>61</v>
      </c>
      <c r="G2" s="58" t="s">
        <v>64</v>
      </c>
    </row>
    <row r="3" spans="1:7" ht="18" customHeight="1">
      <c r="A3" s="57" t="s">
        <v>36</v>
      </c>
      <c r="B3" s="59">
        <v>0.40663900414937759</v>
      </c>
      <c r="C3" s="59">
        <v>0.5357142857142857</v>
      </c>
      <c r="D3" s="59">
        <v>0.4</v>
      </c>
      <c r="E3" s="59">
        <f>'Graus juliol 2016'!B7</f>
        <v>0.54621848739495793</v>
      </c>
      <c r="F3" s="59">
        <f>'Graus juliol 2017'!B7</f>
        <v>0.31775700934579437</v>
      </c>
      <c r="G3" s="59">
        <f>'Graus juliol 2018'!B7</f>
        <v>0.34545454545454546</v>
      </c>
    </row>
    <row r="4" spans="1:7" ht="18" customHeight="1">
      <c r="A4" s="57" t="s">
        <v>35</v>
      </c>
      <c r="B4" s="59">
        <v>0.66355140186915884</v>
      </c>
      <c r="C4" s="59">
        <v>0.61386138613861385</v>
      </c>
      <c r="D4" s="59">
        <v>0.51351351351351349</v>
      </c>
      <c r="E4" s="59">
        <f>'Graus juliol 2016'!B11</f>
        <v>0.61627906976744184</v>
      </c>
      <c r="F4" s="59">
        <f>'Graus juliol 2017'!B11</f>
        <v>0.52898550724637683</v>
      </c>
      <c r="G4" s="59">
        <f>'Graus juliol 2018'!B11</f>
        <v>0.60869565217391308</v>
      </c>
    </row>
    <row r="5" spans="1:7" ht="18" customHeight="1">
      <c r="A5" s="57" t="s">
        <v>34</v>
      </c>
      <c r="B5" s="59">
        <v>0.38596491228070173</v>
      </c>
      <c r="C5" s="59">
        <v>0.33333333333333331</v>
      </c>
      <c r="D5" s="59">
        <v>0.23728813559322035</v>
      </c>
      <c r="E5" s="59">
        <f>'Graus juliol 2016'!B12</f>
        <v>0.3</v>
      </c>
      <c r="F5" s="59">
        <f>'Graus juliol 2017'!B12</f>
        <v>0.21739130434782608</v>
      </c>
      <c r="G5" s="59">
        <f>'Graus juliol 2018'!B12</f>
        <v>0.41025641025641024</v>
      </c>
    </row>
    <row r="6" spans="1:7" ht="18" customHeight="1">
      <c r="A6" s="61" t="s">
        <v>40</v>
      </c>
      <c r="B6" s="115">
        <f t="shared" ref="B6:G6" si="0">(B3+B4+B5)/3</f>
        <v>0.485385106099746</v>
      </c>
      <c r="C6" s="115">
        <f t="shared" si="0"/>
        <v>0.49430300172874425</v>
      </c>
      <c r="D6" s="115">
        <f t="shared" si="0"/>
        <v>0.38360054970224461</v>
      </c>
      <c r="E6" s="115">
        <f t="shared" si="0"/>
        <v>0.48749918572079998</v>
      </c>
      <c r="F6" s="115">
        <f t="shared" si="0"/>
        <v>0.35471127364666577</v>
      </c>
      <c r="G6" s="115">
        <f t="shared" si="0"/>
        <v>0.45480220262828963</v>
      </c>
    </row>
    <row r="7" spans="1:7" ht="18" customHeight="1">
      <c r="A7" s="61"/>
      <c r="B7" s="63"/>
      <c r="C7" s="63"/>
      <c r="D7" s="63"/>
    </row>
    <row r="8" spans="1:7" ht="18" customHeight="1">
      <c r="A8" s="61"/>
      <c r="B8" s="63"/>
      <c r="C8" s="63"/>
      <c r="D8" s="63"/>
    </row>
    <row r="9" spans="1:7" ht="18" customHeight="1">
      <c r="A9" s="61"/>
      <c r="B9" s="63"/>
      <c r="C9" s="63"/>
      <c r="D9" s="63"/>
    </row>
    <row r="10" spans="1:7" ht="18" customHeight="1">
      <c r="A10" s="61"/>
      <c r="B10" s="63"/>
      <c r="C10" s="63"/>
      <c r="D10" s="63"/>
    </row>
    <row r="11" spans="1:7" ht="18" customHeight="1">
      <c r="A11" s="61"/>
      <c r="B11" s="63"/>
      <c r="C11" s="63"/>
      <c r="D11" s="63"/>
    </row>
    <row r="12" spans="1:7" ht="18" customHeight="1">
      <c r="A12" s="61"/>
      <c r="B12" s="63"/>
      <c r="C12" s="63"/>
      <c r="D12" s="63"/>
    </row>
    <row r="13" spans="1:7" ht="18" customHeight="1">
      <c r="A13" s="61"/>
      <c r="B13" s="63"/>
      <c r="C13" s="63"/>
      <c r="D13" s="63"/>
    </row>
    <row r="14" spans="1:7" ht="18" customHeight="1">
      <c r="A14" s="61"/>
      <c r="B14" s="63"/>
      <c r="C14" s="63"/>
      <c r="D14" s="63"/>
    </row>
    <row r="15" spans="1:7" ht="18" customHeight="1">
      <c r="A15" s="61"/>
      <c r="B15" s="63"/>
      <c r="C15" s="63"/>
      <c r="D15" s="63"/>
    </row>
    <row r="16" spans="1:7" ht="18" customHeight="1">
      <c r="A16" s="61"/>
      <c r="B16" s="63"/>
      <c r="C16" s="63"/>
      <c r="D16" s="63"/>
    </row>
    <row r="17" spans="1:7" ht="18" customHeight="1">
      <c r="A17" s="61"/>
      <c r="B17" s="63"/>
      <c r="C17" s="63"/>
      <c r="D17" s="63"/>
    </row>
    <row r="18" spans="1:7" ht="18" customHeight="1">
      <c r="A18" s="61"/>
      <c r="B18" s="63"/>
      <c r="C18" s="63"/>
      <c r="D18" s="63"/>
    </row>
    <row r="19" spans="1:7" ht="18" customHeight="1">
      <c r="A19" s="52"/>
    </row>
    <row r="20" spans="1:7" ht="23.25" customHeight="1">
      <c r="A20" s="64" t="s">
        <v>50</v>
      </c>
    </row>
    <row r="21" spans="1:7" ht="18" customHeight="1">
      <c r="A21" s="65" t="s">
        <v>51</v>
      </c>
      <c r="B21" s="58" t="s">
        <v>57</v>
      </c>
      <c r="C21" s="58" t="s">
        <v>58</v>
      </c>
      <c r="D21" s="58" t="s">
        <v>59</v>
      </c>
      <c r="E21" s="58" t="s">
        <v>60</v>
      </c>
      <c r="F21" s="58" t="s">
        <v>61</v>
      </c>
      <c r="G21" s="58" t="s">
        <v>64</v>
      </c>
    </row>
    <row r="22" spans="1:7" ht="18" customHeight="1">
      <c r="A22" s="54" t="s">
        <v>36</v>
      </c>
      <c r="B22" s="60">
        <v>98</v>
      </c>
      <c r="C22" s="60">
        <v>120</v>
      </c>
      <c r="D22" s="60">
        <v>80</v>
      </c>
      <c r="E22" s="60">
        <f>'Graus juliol 2016'!D7</f>
        <v>65</v>
      </c>
      <c r="F22" s="60">
        <f>'Graus juliol 2017'!D7</f>
        <v>68</v>
      </c>
      <c r="G22" s="60">
        <f>'Graus juliol 2018'!D7</f>
        <v>57</v>
      </c>
    </row>
    <row r="23" spans="1:7" ht="18" customHeight="1">
      <c r="A23" s="54" t="s">
        <v>35</v>
      </c>
      <c r="B23" s="60">
        <v>71</v>
      </c>
      <c r="C23" s="60">
        <v>62</v>
      </c>
      <c r="D23" s="60">
        <v>57</v>
      </c>
      <c r="E23" s="60">
        <f>'Graus juliol 2016'!D11</f>
        <v>53</v>
      </c>
      <c r="F23" s="60">
        <f>'Graus juliol 2017'!D11</f>
        <v>73</v>
      </c>
      <c r="G23" s="60">
        <f>'Graus juliol 2018'!D11</f>
        <v>56</v>
      </c>
    </row>
    <row r="24" spans="1:7" ht="18" customHeight="1">
      <c r="A24" s="54" t="s">
        <v>34</v>
      </c>
      <c r="B24" s="60">
        <v>22</v>
      </c>
      <c r="C24" s="60">
        <v>19</v>
      </c>
      <c r="D24" s="60">
        <v>14</v>
      </c>
      <c r="E24" s="60">
        <f>'Graus juliol 2016'!D12</f>
        <v>9</v>
      </c>
      <c r="F24" s="60">
        <f>'Graus juliol 2017'!D12</f>
        <v>15</v>
      </c>
      <c r="G24" s="60">
        <f>'Graus juliol 2018'!D12</f>
        <v>32</v>
      </c>
    </row>
    <row r="25" spans="1:7" ht="18" customHeight="1">
      <c r="A25" s="61" t="s">
        <v>39</v>
      </c>
      <c r="B25" s="56">
        <f t="shared" ref="B25:G25" si="1">SUM(B22:B24)</f>
        <v>191</v>
      </c>
      <c r="C25" s="56">
        <f t="shared" si="1"/>
        <v>201</v>
      </c>
      <c r="D25" s="56">
        <f t="shared" si="1"/>
        <v>151</v>
      </c>
      <c r="E25" s="56">
        <f t="shared" si="1"/>
        <v>127</v>
      </c>
      <c r="F25" s="56">
        <f t="shared" si="1"/>
        <v>156</v>
      </c>
      <c r="G25" s="56">
        <f t="shared" si="1"/>
        <v>145</v>
      </c>
    </row>
    <row r="26" spans="1:7" ht="18" customHeight="1"/>
    <row r="27" spans="1:7" ht="18" customHeight="1"/>
    <row r="28" spans="1:7" ht="18" customHeight="1"/>
    <row r="29" spans="1:7" ht="18" customHeight="1"/>
    <row r="30" spans="1:7" ht="18" customHeight="1"/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</sheetData>
  <pageMargins left="0.51181102362204722" right="0.31496062992125984" top="0.74803149606299213" bottom="0.74803149606299213" header="0.31496062992125984" footer="0.31496062992125984"/>
  <pageSetup paperSize="9" scale="9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5"/>
  <sheetViews>
    <sheetView topLeftCell="A28" zoomScale="130" zoomScaleNormal="130" workbookViewId="0">
      <selection activeCell="B3" sqref="B3"/>
    </sheetView>
  </sheetViews>
  <sheetFormatPr baseColWidth="10" defaultRowHeight="12.75"/>
  <cols>
    <col min="1" max="1" width="22.7109375" customWidth="1"/>
    <col min="2" max="5" width="8.42578125" style="55" customWidth="1"/>
    <col min="6" max="11" width="8.42578125" customWidth="1"/>
  </cols>
  <sheetData>
    <row r="1" spans="1:11" ht="15.75">
      <c r="A1" s="64" t="s">
        <v>49</v>
      </c>
      <c r="B1" s="56"/>
      <c r="C1" s="56"/>
      <c r="D1" s="56"/>
      <c r="E1" s="56"/>
      <c r="F1" s="53"/>
      <c r="G1" s="53"/>
      <c r="H1" s="53"/>
      <c r="I1" s="53"/>
      <c r="J1" s="53"/>
      <c r="K1" s="53"/>
    </row>
    <row r="2" spans="1:11" ht="15.75">
      <c r="A2" s="65" t="s">
        <v>38</v>
      </c>
      <c r="B2" s="154" t="s">
        <v>66</v>
      </c>
      <c r="C2" s="153" t="s">
        <v>67</v>
      </c>
      <c r="D2" s="154" t="s">
        <v>68</v>
      </c>
      <c r="E2" s="153" t="s">
        <v>69</v>
      </c>
      <c r="F2" s="154" t="s">
        <v>70</v>
      </c>
      <c r="G2" s="153" t="s">
        <v>71</v>
      </c>
      <c r="H2" s="154" t="s">
        <v>72</v>
      </c>
      <c r="I2" s="58" t="s">
        <v>73</v>
      </c>
      <c r="J2" s="154" t="s">
        <v>74</v>
      </c>
      <c r="K2" s="58" t="s">
        <v>75</v>
      </c>
    </row>
    <row r="3" spans="1:11">
      <c r="A3" s="57" t="s">
        <v>36</v>
      </c>
      <c r="B3" s="113">
        <v>0.43558282208588955</v>
      </c>
      <c r="C3" s="59">
        <v>0.5357142857142857</v>
      </c>
      <c r="D3" s="113">
        <v>0.50943396226415094</v>
      </c>
      <c r="E3" s="59">
        <v>0.4</v>
      </c>
      <c r="F3" s="113">
        <v>0.29464285714285715</v>
      </c>
      <c r="G3" s="59">
        <f>'Graus juliol 2016'!B7</f>
        <v>0.54621848739495793</v>
      </c>
      <c r="H3" s="113">
        <f>'Graus febrer 2017'!B7</f>
        <v>0.48979591836734693</v>
      </c>
      <c r="I3" s="59">
        <f>'Graus juliol 2017'!B7</f>
        <v>0.31775700934579437</v>
      </c>
      <c r="J3" s="113">
        <f>'Graus febrer 2018'!B7</f>
        <v>0.4942528735632184</v>
      </c>
      <c r="K3" s="59">
        <f>'Graus juliol 2018'!B7</f>
        <v>0.34545454545454546</v>
      </c>
    </row>
    <row r="4" spans="1:11">
      <c r="A4" s="57" t="s">
        <v>35</v>
      </c>
      <c r="B4" s="113">
        <v>0.61702127659574468</v>
      </c>
      <c r="C4" s="59">
        <v>0.61386138613861385</v>
      </c>
      <c r="D4" s="113">
        <v>0.54545454545454541</v>
      </c>
      <c r="E4" s="59">
        <v>0.51351351351351349</v>
      </c>
      <c r="F4" s="113">
        <v>0.27906976744186046</v>
      </c>
      <c r="G4" s="59">
        <f>'Graus juliol 2016'!B11</f>
        <v>0.61627906976744184</v>
      </c>
      <c r="H4" s="113">
        <f>'Graus febrer 2017'!B11</f>
        <v>0.35555555555555557</v>
      </c>
      <c r="I4" s="59">
        <f>'Graus juliol 2017'!B11</f>
        <v>0.52898550724637683</v>
      </c>
      <c r="J4" s="113">
        <f>'Graus febrer 2018'!B11</f>
        <v>0.51923076923076927</v>
      </c>
      <c r="K4" s="59">
        <f>'Graus juliol 2018'!B11</f>
        <v>0.60869565217391308</v>
      </c>
    </row>
    <row r="5" spans="1:11">
      <c r="A5" s="57" t="s">
        <v>34</v>
      </c>
      <c r="B5" s="113">
        <v>0.5625</v>
      </c>
      <c r="C5" s="59">
        <v>0.33333333333333331</v>
      </c>
      <c r="D5" s="113">
        <v>0.26315789473684209</v>
      </c>
      <c r="E5" s="59">
        <v>0.23728813559322035</v>
      </c>
      <c r="F5" s="113">
        <v>0.5</v>
      </c>
      <c r="G5" s="59">
        <f>'Graus juliol 2016'!B12</f>
        <v>0.3</v>
      </c>
      <c r="H5" s="113">
        <f>'Graus febrer 2017'!B12</f>
        <v>0.34375</v>
      </c>
      <c r="I5" s="59">
        <f>'Graus juliol 2017'!B12</f>
        <v>0.21739130434782608</v>
      </c>
      <c r="J5" s="113">
        <f>'Graus febrer 2018'!B12</f>
        <v>0.46511627906976744</v>
      </c>
      <c r="K5" s="59">
        <f>'Graus juliol 2018'!B12</f>
        <v>0.41025641025641024</v>
      </c>
    </row>
    <row r="6" spans="1:11">
      <c r="A6" s="61" t="s">
        <v>40</v>
      </c>
      <c r="B6" s="114">
        <f t="shared" ref="B6:K6" si="0">(B3+B4+B5)/3</f>
        <v>0.53836803289387813</v>
      </c>
      <c r="C6" s="115">
        <f t="shared" si="0"/>
        <v>0.49430300172874425</v>
      </c>
      <c r="D6" s="114">
        <f t="shared" si="0"/>
        <v>0.43934880081851285</v>
      </c>
      <c r="E6" s="115">
        <f t="shared" si="0"/>
        <v>0.38360054970224461</v>
      </c>
      <c r="F6" s="114">
        <f t="shared" si="0"/>
        <v>0.35790420819490593</v>
      </c>
      <c r="G6" s="115">
        <f t="shared" si="0"/>
        <v>0.48749918572079998</v>
      </c>
      <c r="H6" s="114">
        <f t="shared" si="0"/>
        <v>0.39636715797430083</v>
      </c>
      <c r="I6" s="112">
        <f t="shared" si="0"/>
        <v>0.35471127364666577</v>
      </c>
      <c r="J6" s="114">
        <f t="shared" si="0"/>
        <v>0.49286664062125168</v>
      </c>
      <c r="K6" s="112">
        <f t="shared" si="0"/>
        <v>0.45480220262828963</v>
      </c>
    </row>
    <row r="7" spans="1:11">
      <c r="A7" s="61"/>
      <c r="B7" s="63"/>
      <c r="C7" s="63"/>
      <c r="D7" s="63"/>
      <c r="E7" s="63"/>
    </row>
    <row r="8" spans="1:11">
      <c r="A8" s="61"/>
      <c r="B8" s="63"/>
      <c r="C8" s="63"/>
      <c r="D8" s="63"/>
      <c r="E8" s="63"/>
    </row>
    <row r="9" spans="1:11">
      <c r="A9" s="61"/>
      <c r="B9" s="63"/>
      <c r="C9" s="63"/>
      <c r="D9" s="63"/>
      <c r="E9" s="63"/>
    </row>
    <row r="10" spans="1:11">
      <c r="A10" s="61"/>
      <c r="B10" s="63"/>
      <c r="C10" s="63"/>
      <c r="D10" s="63"/>
      <c r="E10" s="63"/>
    </row>
    <row r="11" spans="1:11">
      <c r="A11" s="61"/>
      <c r="B11" s="63"/>
      <c r="C11" s="63"/>
      <c r="D11" s="63"/>
      <c r="E11" s="63"/>
    </row>
    <row r="12" spans="1:11">
      <c r="A12" s="61"/>
      <c r="B12" s="63"/>
      <c r="C12" s="63"/>
      <c r="D12" s="63"/>
      <c r="E12" s="63"/>
    </row>
    <row r="13" spans="1:11">
      <c r="A13" s="61"/>
      <c r="B13" s="63"/>
      <c r="C13" s="63"/>
      <c r="D13" s="63"/>
      <c r="E13" s="63"/>
    </row>
    <row r="14" spans="1:11">
      <c r="A14" s="61"/>
      <c r="B14" s="63"/>
      <c r="C14" s="63"/>
      <c r="D14" s="63"/>
      <c r="E14" s="63"/>
    </row>
    <row r="15" spans="1:11">
      <c r="A15" s="61"/>
      <c r="B15" s="63"/>
      <c r="C15" s="63"/>
      <c r="D15" s="63"/>
      <c r="E15" s="63"/>
    </row>
    <row r="16" spans="1:11">
      <c r="A16" s="61"/>
      <c r="B16" s="63"/>
      <c r="C16" s="63"/>
      <c r="D16" s="63"/>
      <c r="E16" s="63"/>
    </row>
    <row r="17" spans="1:11">
      <c r="A17" s="61"/>
      <c r="B17" s="63"/>
      <c r="C17" s="63"/>
      <c r="D17" s="63"/>
      <c r="E17" s="63"/>
    </row>
    <row r="18" spans="1:11">
      <c r="A18" s="61"/>
      <c r="B18" s="63"/>
      <c r="C18" s="63"/>
      <c r="D18" s="63"/>
      <c r="E18" s="63"/>
    </row>
    <row r="19" spans="1:11">
      <c r="A19" s="52"/>
    </row>
    <row r="20" spans="1:11" ht="15.75">
      <c r="A20" s="64" t="s">
        <v>41</v>
      </c>
    </row>
    <row r="21" spans="1:11" ht="15.75">
      <c r="A21" s="65" t="s">
        <v>37</v>
      </c>
      <c r="B21" s="110" t="s">
        <v>66</v>
      </c>
      <c r="C21" s="58" t="s">
        <v>67</v>
      </c>
      <c r="D21" s="110" t="s">
        <v>68</v>
      </c>
      <c r="E21" s="58" t="s">
        <v>69</v>
      </c>
      <c r="F21" s="110" t="s">
        <v>70</v>
      </c>
      <c r="G21" s="58" t="s">
        <v>71</v>
      </c>
      <c r="H21" s="110" t="s">
        <v>72</v>
      </c>
      <c r="I21" s="58" t="s">
        <v>73</v>
      </c>
      <c r="J21" s="110" t="s">
        <v>74</v>
      </c>
      <c r="K21" s="58" t="s">
        <v>75</v>
      </c>
    </row>
    <row r="22" spans="1:11">
      <c r="A22" s="54" t="s">
        <v>36</v>
      </c>
      <c r="B22" s="109">
        <v>71</v>
      </c>
      <c r="C22" s="60">
        <v>120</v>
      </c>
      <c r="D22" s="109">
        <v>54</v>
      </c>
      <c r="E22" s="60">
        <v>80</v>
      </c>
      <c r="F22" s="109">
        <v>37</v>
      </c>
      <c r="G22" s="60">
        <f>'Graus juliol 2016'!D7</f>
        <v>65</v>
      </c>
      <c r="H22" s="109">
        <f>'Graus febrer 2017'!D7</f>
        <v>48</v>
      </c>
      <c r="I22" s="60">
        <f>'Graus juliol 2017'!D7</f>
        <v>68</v>
      </c>
      <c r="J22" s="109">
        <v>71</v>
      </c>
      <c r="K22" s="60">
        <f>'Graus juliol 2018'!D7</f>
        <v>57</v>
      </c>
    </row>
    <row r="23" spans="1:11">
      <c r="A23" s="54" t="s">
        <v>35</v>
      </c>
      <c r="B23" s="109">
        <v>29</v>
      </c>
      <c r="C23" s="60">
        <v>62</v>
      </c>
      <c r="D23" s="109">
        <v>18</v>
      </c>
      <c r="E23" s="60">
        <v>57</v>
      </c>
      <c r="F23" s="109">
        <v>12</v>
      </c>
      <c r="G23" s="60">
        <f>'Graus juliol 2016'!D11</f>
        <v>53</v>
      </c>
      <c r="H23" s="109">
        <f>'Graus febrer 2017'!D11</f>
        <v>16</v>
      </c>
      <c r="I23" s="60">
        <f>'Graus juliol 2017'!D11</f>
        <v>73</v>
      </c>
      <c r="J23" s="109">
        <v>29</v>
      </c>
      <c r="K23" s="60">
        <f>'Graus juliol 2018'!D11</f>
        <v>56</v>
      </c>
    </row>
    <row r="24" spans="1:11">
      <c r="A24" s="54" t="s">
        <v>34</v>
      </c>
      <c r="B24" s="109">
        <v>18</v>
      </c>
      <c r="C24" s="60">
        <v>19</v>
      </c>
      <c r="D24" s="109">
        <v>5</v>
      </c>
      <c r="E24" s="60">
        <v>14</v>
      </c>
      <c r="F24" s="109">
        <v>16</v>
      </c>
      <c r="G24" s="60">
        <f>'Graus juliol 2016'!D12</f>
        <v>9</v>
      </c>
      <c r="H24" s="109">
        <f>'Graus febrer 2017'!D12</f>
        <v>11</v>
      </c>
      <c r="I24" s="60">
        <f>'Graus juliol 2017'!D12</f>
        <v>15</v>
      </c>
      <c r="J24" s="109">
        <v>18</v>
      </c>
      <c r="K24" s="60">
        <f>'Graus juliol 2018'!D12</f>
        <v>32</v>
      </c>
    </row>
    <row r="25" spans="1:11">
      <c r="A25" s="61" t="s">
        <v>39</v>
      </c>
      <c r="B25" s="111">
        <f t="shared" ref="B25:K25" si="1">SUM(B22:B24)</f>
        <v>118</v>
      </c>
      <c r="C25" s="56">
        <f t="shared" si="1"/>
        <v>201</v>
      </c>
      <c r="D25" s="111">
        <f t="shared" si="1"/>
        <v>77</v>
      </c>
      <c r="E25" s="56">
        <f t="shared" si="1"/>
        <v>151</v>
      </c>
      <c r="F25" s="111">
        <f t="shared" si="1"/>
        <v>65</v>
      </c>
      <c r="G25" s="56">
        <f t="shared" si="1"/>
        <v>127</v>
      </c>
      <c r="H25" s="111">
        <f t="shared" si="1"/>
        <v>75</v>
      </c>
      <c r="I25" s="62">
        <f t="shared" si="1"/>
        <v>156</v>
      </c>
      <c r="J25" s="111">
        <f t="shared" si="1"/>
        <v>118</v>
      </c>
      <c r="K25" s="62">
        <f t="shared" si="1"/>
        <v>145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6"/>
  <sheetViews>
    <sheetView workbookViewId="0">
      <pane ySplit="2" topLeftCell="A3" activePane="bottomLeft" state="frozen"/>
      <selection activeCell="B9" sqref="B9"/>
      <selection pane="bottomLeft" activeCell="I8" sqref="I8"/>
    </sheetView>
  </sheetViews>
  <sheetFormatPr baseColWidth="10" defaultColWidth="11.42578125" defaultRowHeight="12.75"/>
  <cols>
    <col min="1" max="1" width="24.7109375" customWidth="1"/>
    <col min="2" max="3" width="10.7109375" customWidth="1"/>
  </cols>
  <sheetData>
    <row r="1" spans="1:17" ht="39.75" customHeight="1">
      <c r="A1" s="4" t="s">
        <v>17</v>
      </c>
      <c r="B1" s="4"/>
      <c r="C1" s="4"/>
      <c r="D1" s="173" t="s">
        <v>0</v>
      </c>
      <c r="E1" s="171"/>
      <c r="F1" s="171"/>
      <c r="G1" s="171"/>
      <c r="H1" s="172"/>
      <c r="I1" s="173" t="s">
        <v>1</v>
      </c>
      <c r="J1" s="171"/>
      <c r="K1" s="171"/>
      <c r="L1" s="173" t="s">
        <v>2</v>
      </c>
      <c r="M1" s="171"/>
      <c r="N1" s="171"/>
      <c r="O1" s="173" t="s">
        <v>3</v>
      </c>
      <c r="P1" s="171"/>
      <c r="Q1" s="172"/>
    </row>
    <row r="2" spans="1:17" ht="33" customHeight="1">
      <c r="A2" s="50" t="s">
        <v>21</v>
      </c>
      <c r="B2" s="46" t="s">
        <v>31</v>
      </c>
      <c r="C2" s="44" t="s">
        <v>29</v>
      </c>
      <c r="D2" s="48" t="s">
        <v>4</v>
      </c>
      <c r="E2" s="7" t="s">
        <v>18</v>
      </c>
      <c r="F2" s="6" t="s">
        <v>19</v>
      </c>
      <c r="G2" s="6" t="s">
        <v>6</v>
      </c>
      <c r="H2" s="49" t="s">
        <v>5</v>
      </c>
      <c r="I2" s="48" t="s">
        <v>4</v>
      </c>
      <c r="J2" s="6" t="s">
        <v>20</v>
      </c>
      <c r="K2" s="49" t="s">
        <v>5</v>
      </c>
      <c r="L2" s="48" t="s">
        <v>4</v>
      </c>
      <c r="M2" s="6" t="s">
        <v>20</v>
      </c>
      <c r="N2" s="49" t="s">
        <v>5</v>
      </c>
      <c r="O2" s="48" t="s">
        <v>4</v>
      </c>
      <c r="P2" s="6" t="s">
        <v>6</v>
      </c>
      <c r="Q2" s="49" t="s">
        <v>5</v>
      </c>
    </row>
    <row r="3" spans="1:17" ht="39.75" customHeight="1">
      <c r="A3" s="23" t="s">
        <v>10</v>
      </c>
      <c r="B3" s="51">
        <f>D3/C3</f>
        <v>0.4</v>
      </c>
      <c r="C3" s="116">
        <f>SUM(D3:G3)</f>
        <v>115</v>
      </c>
      <c r="D3" s="8">
        <v>46</v>
      </c>
      <c r="E3" s="9">
        <v>5</v>
      </c>
      <c r="F3" s="10">
        <v>5</v>
      </c>
      <c r="G3" s="10">
        <v>59</v>
      </c>
      <c r="H3" s="11">
        <v>192</v>
      </c>
      <c r="I3" s="8">
        <v>0</v>
      </c>
      <c r="J3" s="10">
        <v>0</v>
      </c>
      <c r="K3" s="11">
        <v>87</v>
      </c>
      <c r="L3" s="12"/>
      <c r="M3" s="13"/>
      <c r="N3" s="14"/>
      <c r="O3" s="12"/>
      <c r="P3" s="13"/>
      <c r="Q3" s="14"/>
    </row>
    <row r="4" spans="1:17" ht="39.75" customHeight="1">
      <c r="A4" s="24" t="s">
        <v>9</v>
      </c>
      <c r="B4" s="51">
        <f>D4/C4</f>
        <v>0.56666666666666665</v>
      </c>
      <c r="C4" s="116">
        <f>SUM(D4:G4)</f>
        <v>30</v>
      </c>
      <c r="D4" s="15">
        <v>17</v>
      </c>
      <c r="E4" s="16">
        <v>0</v>
      </c>
      <c r="F4" s="17">
        <v>0</v>
      </c>
      <c r="G4" s="10">
        <v>13</v>
      </c>
      <c r="H4" s="11">
        <v>11</v>
      </c>
      <c r="I4" s="12"/>
      <c r="J4" s="13"/>
      <c r="K4" s="14"/>
      <c r="L4" s="12"/>
      <c r="M4" s="13"/>
      <c r="N4" s="14"/>
      <c r="O4" s="12"/>
      <c r="P4" s="13"/>
      <c r="Q4" s="14"/>
    </row>
    <row r="5" spans="1:17" ht="39.75" customHeight="1">
      <c r="A5" s="24" t="s">
        <v>7</v>
      </c>
      <c r="B5" s="51">
        <f>D5/C5</f>
        <v>0.33333333333333331</v>
      </c>
      <c r="C5" s="116">
        <f>SUM(D5:G5)</f>
        <v>9</v>
      </c>
      <c r="D5" s="15">
        <v>3</v>
      </c>
      <c r="E5" s="16">
        <v>0</v>
      </c>
      <c r="F5" s="17">
        <v>0</v>
      </c>
      <c r="G5" s="10">
        <v>6</v>
      </c>
      <c r="H5" s="11">
        <v>2</v>
      </c>
      <c r="I5" s="12"/>
      <c r="J5" s="13"/>
      <c r="K5" s="14"/>
      <c r="L5" s="12"/>
      <c r="M5" s="13"/>
      <c r="N5" s="14"/>
      <c r="O5" s="12"/>
      <c r="P5" s="13"/>
      <c r="Q5" s="14"/>
    </row>
    <row r="6" spans="1:17" ht="39.75" customHeight="1">
      <c r="A6" s="25" t="s">
        <v>8</v>
      </c>
      <c r="B6" s="69">
        <f>D6/C6</f>
        <v>0.55555555555555558</v>
      </c>
      <c r="C6" s="116">
        <f>SUM(D6:G6)</f>
        <v>9</v>
      </c>
      <c r="D6" s="15">
        <v>5</v>
      </c>
      <c r="E6" s="16">
        <v>0</v>
      </c>
      <c r="F6" s="17">
        <v>0</v>
      </c>
      <c r="G6" s="10">
        <v>4</v>
      </c>
      <c r="H6" s="11">
        <v>3</v>
      </c>
      <c r="I6" s="12"/>
      <c r="J6" s="13"/>
      <c r="K6" s="14"/>
      <c r="L6" s="12"/>
      <c r="M6" s="13"/>
      <c r="N6" s="14"/>
      <c r="O6" s="12"/>
      <c r="P6" s="13"/>
      <c r="Q6" s="14"/>
    </row>
    <row r="7" spans="1:17" ht="39.75" customHeight="1">
      <c r="A7" s="25" t="s">
        <v>30</v>
      </c>
      <c r="B7" s="70">
        <f>D7/C7</f>
        <v>0.43558282208588955</v>
      </c>
      <c r="C7" s="165">
        <f>SUM(D7:G7)</f>
        <v>163</v>
      </c>
      <c r="D7" s="166">
        <f>SUM(D3:D6)</f>
        <v>71</v>
      </c>
      <c r="E7" s="167">
        <f>SUM(E3:E6)</f>
        <v>5</v>
      </c>
      <c r="F7" s="167">
        <f>SUM(F3:F6)</f>
        <v>5</v>
      </c>
      <c r="G7" s="167">
        <f>SUM(G3:G6)</f>
        <v>82</v>
      </c>
      <c r="H7" s="168">
        <f>SUM(H3:H6)</f>
        <v>208</v>
      </c>
      <c r="I7" s="12"/>
      <c r="J7" s="13"/>
      <c r="K7" s="14"/>
      <c r="L7" s="12"/>
      <c r="M7" s="13"/>
      <c r="N7" s="14"/>
      <c r="O7" s="12"/>
      <c r="P7" s="13"/>
      <c r="Q7" s="14"/>
    </row>
    <row r="8" spans="1:17" ht="39.75" customHeight="1">
      <c r="A8" s="26" t="s">
        <v>12</v>
      </c>
      <c r="B8" s="47"/>
      <c r="C8" s="47"/>
      <c r="D8" s="12"/>
      <c r="E8" s="18"/>
      <c r="F8" s="13"/>
      <c r="G8" s="13"/>
      <c r="H8" s="14"/>
      <c r="I8" s="8">
        <v>5</v>
      </c>
      <c r="J8" s="10">
        <v>10</v>
      </c>
      <c r="K8" s="11">
        <v>28</v>
      </c>
      <c r="L8" s="8">
        <v>10</v>
      </c>
      <c r="M8" s="10">
        <v>0</v>
      </c>
      <c r="N8" s="11">
        <v>51</v>
      </c>
      <c r="O8" s="8"/>
      <c r="P8" s="10"/>
      <c r="Q8" s="11"/>
    </row>
    <row r="9" spans="1:17" ht="39.75" customHeight="1">
      <c r="A9" s="26" t="s">
        <v>13</v>
      </c>
      <c r="B9" s="47"/>
      <c r="C9" s="47"/>
      <c r="D9" s="12"/>
      <c r="E9" s="18"/>
      <c r="F9" s="13"/>
      <c r="G9" s="13"/>
      <c r="H9" s="14"/>
      <c r="I9" s="8">
        <v>4</v>
      </c>
      <c r="J9" s="10">
        <v>6</v>
      </c>
      <c r="K9" s="11">
        <v>30</v>
      </c>
      <c r="L9" s="8">
        <v>2</v>
      </c>
      <c r="M9" s="10">
        <v>0</v>
      </c>
      <c r="N9" s="11">
        <v>56</v>
      </c>
      <c r="O9" s="8"/>
      <c r="P9" s="10"/>
      <c r="Q9" s="11"/>
    </row>
    <row r="10" spans="1:17" ht="39.75" customHeight="1">
      <c r="A10" s="26" t="s">
        <v>11</v>
      </c>
      <c r="B10" s="47"/>
      <c r="C10" s="47"/>
      <c r="D10" s="12"/>
      <c r="E10" s="18"/>
      <c r="F10" s="13"/>
      <c r="G10" s="13"/>
      <c r="H10" s="14"/>
      <c r="I10" s="8">
        <v>15</v>
      </c>
      <c r="J10" s="10">
        <v>38</v>
      </c>
      <c r="K10" s="11">
        <v>71</v>
      </c>
      <c r="L10" s="8">
        <v>15</v>
      </c>
      <c r="M10" s="10">
        <v>2</v>
      </c>
      <c r="N10" s="11">
        <v>184</v>
      </c>
      <c r="O10" s="8"/>
      <c r="P10" s="10"/>
      <c r="Q10" s="11"/>
    </row>
    <row r="11" spans="1:17" ht="39.75" customHeight="1">
      <c r="A11" s="26" t="s">
        <v>14</v>
      </c>
      <c r="B11" s="70">
        <f>D11/C11</f>
        <v>0.61702127659574468</v>
      </c>
      <c r="C11" s="169">
        <f>SUM(D11:G11)</f>
        <v>47</v>
      </c>
      <c r="D11" s="19">
        <v>29</v>
      </c>
      <c r="E11" s="20">
        <v>1</v>
      </c>
      <c r="F11" s="21">
        <v>3</v>
      </c>
      <c r="G11" s="21">
        <v>14</v>
      </c>
      <c r="H11" s="22">
        <v>118</v>
      </c>
      <c r="I11" s="8">
        <v>13</v>
      </c>
      <c r="J11" s="10">
        <v>28</v>
      </c>
      <c r="K11" s="11">
        <v>107</v>
      </c>
      <c r="L11" s="19">
        <v>5</v>
      </c>
      <c r="M11" s="21">
        <v>0</v>
      </c>
      <c r="N11" s="22">
        <v>150</v>
      </c>
      <c r="O11" s="19"/>
      <c r="P11" s="21"/>
      <c r="Q11" s="22"/>
    </row>
    <row r="12" spans="1:17" ht="39.75" customHeight="1">
      <c r="A12" s="26" t="s">
        <v>15</v>
      </c>
      <c r="B12" s="70">
        <f>D12/C12</f>
        <v>0.5625</v>
      </c>
      <c r="C12" s="169">
        <f>SUM(D12:G12)</f>
        <v>32</v>
      </c>
      <c r="D12" s="8">
        <v>18</v>
      </c>
      <c r="E12" s="9">
        <v>4</v>
      </c>
      <c r="F12" s="10">
        <v>2</v>
      </c>
      <c r="G12" s="10">
        <v>8</v>
      </c>
      <c r="H12" s="11">
        <v>53</v>
      </c>
      <c r="I12" s="8">
        <v>1</v>
      </c>
      <c r="J12" s="10">
        <v>2</v>
      </c>
      <c r="K12" s="11">
        <v>49</v>
      </c>
      <c r="L12" s="19">
        <v>2</v>
      </c>
      <c r="M12" s="21">
        <v>1</v>
      </c>
      <c r="N12" s="22">
        <v>32</v>
      </c>
      <c r="O12" s="19"/>
      <c r="P12" s="21"/>
      <c r="Q12" s="22"/>
    </row>
    <row r="13" spans="1:17" ht="39.75" customHeight="1">
      <c r="A13" s="26" t="s">
        <v>16</v>
      </c>
      <c r="B13" s="69">
        <f>D13/C13</f>
        <v>0.66666666666666663</v>
      </c>
      <c r="C13" s="169">
        <f>SUM(D13:G13)</f>
        <v>3</v>
      </c>
      <c r="D13" s="8">
        <v>2</v>
      </c>
      <c r="E13" s="9">
        <v>0</v>
      </c>
      <c r="F13" s="10">
        <v>0</v>
      </c>
      <c r="G13" s="10">
        <v>1</v>
      </c>
      <c r="H13" s="11">
        <v>0</v>
      </c>
      <c r="I13" s="8">
        <v>0</v>
      </c>
      <c r="J13" s="10">
        <v>6</v>
      </c>
      <c r="K13" s="11">
        <v>8</v>
      </c>
      <c r="L13" s="19">
        <v>0</v>
      </c>
      <c r="M13" s="21">
        <v>0</v>
      </c>
      <c r="N13" s="22">
        <v>19</v>
      </c>
      <c r="O13" s="19"/>
      <c r="P13" s="21"/>
      <c r="Q13" s="22"/>
    </row>
    <row r="15" spans="1:17" ht="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7" ht="15.75">
      <c r="A16" s="29"/>
      <c r="B16" s="29"/>
      <c r="C16" s="29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</sheetData>
  <mergeCells count="4">
    <mergeCell ref="D1:H1"/>
    <mergeCell ref="I1:K1"/>
    <mergeCell ref="L1:N1"/>
    <mergeCell ref="O1:Q1"/>
  </mergeCells>
  <phoneticPr fontId="1" type="noConversion"/>
  <pageMargins left="0.35433070866141736" right="0.15748031496062992" top="0.98425196850393704" bottom="0.98425196850393704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4"/>
  <sheetViews>
    <sheetView workbookViewId="0">
      <pane ySplit="2" topLeftCell="A3" activePane="bottomLeft" state="frozen"/>
      <selection pane="bottomLeft" activeCell="A8" sqref="A8:IV8"/>
    </sheetView>
  </sheetViews>
  <sheetFormatPr baseColWidth="10" defaultColWidth="11.42578125" defaultRowHeight="12.75"/>
  <cols>
    <col min="1" max="1" width="24.7109375" customWidth="1"/>
    <col min="2" max="2" width="10.7109375" customWidth="1"/>
    <col min="3" max="3" width="11.140625" customWidth="1"/>
  </cols>
  <sheetData>
    <row r="1" spans="1:19" ht="39.950000000000003" customHeight="1">
      <c r="A1" s="4" t="s">
        <v>17</v>
      </c>
      <c r="B1" s="4"/>
      <c r="C1" s="173" t="s">
        <v>0</v>
      </c>
      <c r="D1" s="171"/>
      <c r="E1" s="171"/>
      <c r="F1" s="171"/>
      <c r="G1" s="171"/>
      <c r="H1" s="172"/>
      <c r="I1" s="30"/>
      <c r="J1" s="171" t="s">
        <v>1</v>
      </c>
      <c r="K1" s="171"/>
      <c r="L1" s="171"/>
      <c r="M1" s="30"/>
      <c r="N1" s="171" t="s">
        <v>2</v>
      </c>
      <c r="O1" s="171"/>
      <c r="P1" s="171"/>
      <c r="Q1" s="173" t="s">
        <v>3</v>
      </c>
      <c r="R1" s="171"/>
      <c r="S1" s="172"/>
    </row>
    <row r="2" spans="1:19" ht="39.950000000000003" customHeight="1">
      <c r="A2" s="5" t="s">
        <v>23</v>
      </c>
      <c r="B2" s="46" t="s">
        <v>31</v>
      </c>
      <c r="C2" s="36" t="s">
        <v>25</v>
      </c>
      <c r="D2" s="31" t="s">
        <v>4</v>
      </c>
      <c r="E2" s="7" t="s">
        <v>18</v>
      </c>
      <c r="F2" s="6" t="s">
        <v>19</v>
      </c>
      <c r="G2" s="2" t="s">
        <v>6</v>
      </c>
      <c r="H2" s="3" t="s">
        <v>5</v>
      </c>
      <c r="I2" s="32" t="s">
        <v>25</v>
      </c>
      <c r="J2" s="1" t="s">
        <v>4</v>
      </c>
      <c r="K2" s="6" t="s">
        <v>20</v>
      </c>
      <c r="L2" s="3" t="s">
        <v>5</v>
      </c>
      <c r="M2" s="35" t="s">
        <v>25</v>
      </c>
      <c r="N2" s="1" t="s">
        <v>4</v>
      </c>
      <c r="O2" s="6" t="s">
        <v>20</v>
      </c>
      <c r="P2" s="3" t="s">
        <v>5</v>
      </c>
      <c r="Q2" s="1" t="s">
        <v>4</v>
      </c>
      <c r="R2" s="2" t="s">
        <v>6</v>
      </c>
      <c r="S2" s="3" t="s">
        <v>5</v>
      </c>
    </row>
    <row r="3" spans="1:19" ht="39.950000000000003" customHeight="1">
      <c r="A3" s="23" t="s">
        <v>10</v>
      </c>
      <c r="B3" s="69">
        <f>D3/C3</f>
        <v>0.521505376344086</v>
      </c>
      <c r="C3" s="37">
        <f>SUM(D3:G3)</f>
        <v>186</v>
      </c>
      <c r="D3" s="9">
        <v>97</v>
      </c>
      <c r="E3" s="9">
        <v>28</v>
      </c>
      <c r="F3" s="10">
        <v>25</v>
      </c>
      <c r="G3" s="10">
        <v>36</v>
      </c>
      <c r="H3" s="11">
        <v>71</v>
      </c>
      <c r="I3" s="33">
        <f>SUM(J3:K3)</f>
        <v>7</v>
      </c>
      <c r="J3" s="8">
        <v>2</v>
      </c>
      <c r="K3" s="10">
        <v>5</v>
      </c>
      <c r="L3" s="11">
        <v>63</v>
      </c>
      <c r="M3" s="34"/>
      <c r="N3" s="12"/>
      <c r="O3" s="13"/>
      <c r="P3" s="14"/>
      <c r="Q3" s="12"/>
      <c r="R3" s="13"/>
      <c r="S3" s="14"/>
    </row>
    <row r="4" spans="1:19" ht="39.950000000000003" customHeight="1">
      <c r="A4" s="24" t="s">
        <v>26</v>
      </c>
      <c r="B4" s="69">
        <f>D4/C4</f>
        <v>0.55555555555555558</v>
      </c>
      <c r="C4" s="37">
        <f>SUM(D4:G4)</f>
        <v>27</v>
      </c>
      <c r="D4" s="16">
        <v>15</v>
      </c>
      <c r="E4" s="16">
        <v>1</v>
      </c>
      <c r="F4" s="17">
        <v>0</v>
      </c>
      <c r="G4" s="10">
        <v>11</v>
      </c>
      <c r="H4" s="11">
        <v>15</v>
      </c>
      <c r="I4" s="12"/>
      <c r="J4" s="12"/>
      <c r="K4" s="13"/>
      <c r="L4" s="14"/>
      <c r="M4" s="34"/>
      <c r="N4" s="12"/>
      <c r="O4" s="13"/>
      <c r="P4" s="14"/>
      <c r="Q4" s="12"/>
      <c r="R4" s="13"/>
      <c r="S4" s="14"/>
    </row>
    <row r="5" spans="1:19" ht="39.950000000000003" customHeight="1">
      <c r="A5" s="24" t="s">
        <v>7</v>
      </c>
      <c r="B5" s="69">
        <f>D5/C5</f>
        <v>0.8</v>
      </c>
      <c r="C5" s="37">
        <f>SUM(D5:G5)</f>
        <v>5</v>
      </c>
      <c r="D5" s="16">
        <v>4</v>
      </c>
      <c r="E5" s="16">
        <v>1</v>
      </c>
      <c r="F5" s="17">
        <v>0</v>
      </c>
      <c r="G5" s="10">
        <v>0</v>
      </c>
      <c r="H5" s="11">
        <v>1</v>
      </c>
      <c r="I5" s="12"/>
      <c r="J5" s="12"/>
      <c r="K5" s="13"/>
      <c r="L5" s="14"/>
      <c r="M5" s="34"/>
      <c r="N5" s="12"/>
      <c r="O5" s="13"/>
      <c r="P5" s="14"/>
      <c r="Q5" s="12"/>
      <c r="R5" s="13"/>
      <c r="S5" s="14"/>
    </row>
    <row r="6" spans="1:19" ht="39.950000000000003" customHeight="1">
      <c r="A6" s="25" t="s">
        <v>8</v>
      </c>
      <c r="B6" s="69">
        <f>D6/C6</f>
        <v>0.66666666666666663</v>
      </c>
      <c r="C6" s="37">
        <f>SUM(D6:G6)</f>
        <v>6</v>
      </c>
      <c r="D6" s="16">
        <v>4</v>
      </c>
      <c r="E6" s="16">
        <v>1</v>
      </c>
      <c r="F6" s="17">
        <v>1</v>
      </c>
      <c r="G6" s="10">
        <v>0</v>
      </c>
      <c r="H6" s="11">
        <v>1</v>
      </c>
      <c r="I6" s="12"/>
      <c r="J6" s="12"/>
      <c r="K6" s="13"/>
      <c r="L6" s="14"/>
      <c r="M6" s="34"/>
      <c r="N6" s="12"/>
      <c r="O6" s="13"/>
      <c r="P6" s="14"/>
      <c r="Q6" s="12"/>
      <c r="R6" s="13"/>
      <c r="S6" s="14"/>
    </row>
    <row r="7" spans="1:19" ht="39.950000000000003" customHeight="1">
      <c r="A7" s="25" t="s">
        <v>30</v>
      </c>
      <c r="B7" s="70">
        <f>D7/C7</f>
        <v>0.5357142857142857</v>
      </c>
      <c r="C7" s="37">
        <f t="shared" ref="C7:H7" si="0">SUM(C3:C6)</f>
        <v>224</v>
      </c>
      <c r="D7" s="16">
        <f t="shared" si="0"/>
        <v>120</v>
      </c>
      <c r="E7" s="16">
        <f t="shared" si="0"/>
        <v>31</v>
      </c>
      <c r="F7" s="17">
        <f t="shared" si="0"/>
        <v>26</v>
      </c>
      <c r="G7" s="10">
        <f t="shared" si="0"/>
        <v>47</v>
      </c>
      <c r="H7" s="11">
        <f t="shared" si="0"/>
        <v>88</v>
      </c>
      <c r="I7" s="34"/>
      <c r="J7" s="12"/>
      <c r="K7" s="13"/>
      <c r="L7" s="14"/>
      <c r="M7" s="34"/>
      <c r="N7" s="12"/>
      <c r="O7" s="13"/>
      <c r="P7" s="14"/>
      <c r="Q7" s="12"/>
      <c r="R7" s="13"/>
      <c r="S7" s="14"/>
    </row>
    <row r="8" spans="1:19" ht="39.950000000000003" customHeight="1">
      <c r="A8" s="26" t="s">
        <v>12</v>
      </c>
      <c r="B8" s="73"/>
      <c r="C8" s="12"/>
      <c r="D8" s="18"/>
      <c r="E8" s="18"/>
      <c r="F8" s="13"/>
      <c r="G8" s="13"/>
      <c r="H8" s="14"/>
      <c r="I8" s="33">
        <f t="shared" ref="I8:I14" si="1">SUM(J8:K8)</f>
        <v>39</v>
      </c>
      <c r="J8" s="8">
        <v>18</v>
      </c>
      <c r="K8" s="10">
        <v>21</v>
      </c>
      <c r="L8" s="11">
        <v>11</v>
      </c>
      <c r="M8" s="39">
        <f t="shared" ref="M8:M14" si="2">SUM(N8:O8)</f>
        <v>7</v>
      </c>
      <c r="N8" s="8">
        <v>7</v>
      </c>
      <c r="O8" s="10">
        <v>0</v>
      </c>
      <c r="P8" s="11">
        <v>32</v>
      </c>
      <c r="Q8" s="8"/>
      <c r="R8" s="10"/>
      <c r="S8" s="11"/>
    </row>
    <row r="9" spans="1:19" ht="39.950000000000003" customHeight="1">
      <c r="A9" s="26" t="s">
        <v>13</v>
      </c>
      <c r="B9" s="73"/>
      <c r="C9" s="12"/>
      <c r="D9" s="18"/>
      <c r="E9" s="18"/>
      <c r="F9" s="13"/>
      <c r="G9" s="13"/>
      <c r="H9" s="14"/>
      <c r="I9" s="33">
        <f t="shared" si="1"/>
        <v>37</v>
      </c>
      <c r="J9" s="8">
        <v>18</v>
      </c>
      <c r="K9" s="10">
        <v>19</v>
      </c>
      <c r="L9" s="11">
        <v>12</v>
      </c>
      <c r="M9" s="39">
        <f t="shared" si="2"/>
        <v>8</v>
      </c>
      <c r="N9" s="8">
        <v>8</v>
      </c>
      <c r="O9" s="10">
        <v>0</v>
      </c>
      <c r="P9" s="11">
        <v>43</v>
      </c>
      <c r="Q9" s="8"/>
      <c r="R9" s="10"/>
      <c r="S9" s="11"/>
    </row>
    <row r="10" spans="1:19" ht="39.950000000000003" customHeight="1">
      <c r="A10" s="26" t="s">
        <v>11</v>
      </c>
      <c r="B10" s="73"/>
      <c r="C10" s="12"/>
      <c r="D10" s="18"/>
      <c r="E10" s="18"/>
      <c r="F10" s="13"/>
      <c r="G10" s="13"/>
      <c r="H10" s="14"/>
      <c r="I10" s="33">
        <f>SUM(J10:K10)</f>
        <v>110</v>
      </c>
      <c r="J10" s="8">
        <v>44</v>
      </c>
      <c r="K10" s="10">
        <v>66</v>
      </c>
      <c r="L10" s="11">
        <v>62</v>
      </c>
      <c r="M10" s="39">
        <f>SUM(N10:O10)</f>
        <v>31</v>
      </c>
      <c r="N10" s="8">
        <v>27</v>
      </c>
      <c r="O10" s="10">
        <v>4</v>
      </c>
      <c r="P10" s="11">
        <v>144</v>
      </c>
      <c r="Q10" s="8"/>
      <c r="R10" s="10"/>
      <c r="S10" s="11"/>
    </row>
    <row r="11" spans="1:19" ht="39.950000000000003" customHeight="1">
      <c r="A11" s="26" t="s">
        <v>14</v>
      </c>
      <c r="B11" s="70">
        <f>D11/C11</f>
        <v>0.61386138613861385</v>
      </c>
      <c r="C11" s="37">
        <f>SUM(D11:G11)</f>
        <v>101</v>
      </c>
      <c r="D11" s="20">
        <v>62</v>
      </c>
      <c r="E11" s="20">
        <v>11</v>
      </c>
      <c r="F11" s="21">
        <v>6</v>
      </c>
      <c r="G11" s="21">
        <v>22</v>
      </c>
      <c r="H11" s="22">
        <v>30</v>
      </c>
      <c r="I11" s="33">
        <f t="shared" si="1"/>
        <v>109</v>
      </c>
      <c r="J11" s="8">
        <v>69</v>
      </c>
      <c r="K11" s="10">
        <v>40</v>
      </c>
      <c r="L11" s="11">
        <v>38</v>
      </c>
      <c r="M11" s="39">
        <f t="shared" si="2"/>
        <v>21</v>
      </c>
      <c r="N11" s="19">
        <v>20</v>
      </c>
      <c r="O11" s="21">
        <v>1</v>
      </c>
      <c r="P11" s="22">
        <v>106</v>
      </c>
      <c r="Q11" s="19"/>
      <c r="R11" s="21"/>
      <c r="S11" s="22"/>
    </row>
    <row r="12" spans="1:19" ht="39.950000000000003" customHeight="1">
      <c r="A12" s="26" t="s">
        <v>15</v>
      </c>
      <c r="B12" s="70">
        <f>D12/C12</f>
        <v>0.33333333333333331</v>
      </c>
      <c r="C12" s="37">
        <f>SUM(D12:G12)</f>
        <v>57</v>
      </c>
      <c r="D12" s="9">
        <v>19</v>
      </c>
      <c r="E12" s="9">
        <v>19</v>
      </c>
      <c r="F12" s="10">
        <v>8</v>
      </c>
      <c r="G12" s="10">
        <v>11</v>
      </c>
      <c r="H12" s="11">
        <v>17</v>
      </c>
      <c r="I12" s="33">
        <f t="shared" si="1"/>
        <v>23</v>
      </c>
      <c r="J12" s="8">
        <v>12</v>
      </c>
      <c r="K12" s="10">
        <v>11</v>
      </c>
      <c r="L12" s="11">
        <v>39</v>
      </c>
      <c r="M12" s="39">
        <f t="shared" si="2"/>
        <v>4</v>
      </c>
      <c r="N12" s="19">
        <v>4</v>
      </c>
      <c r="O12" s="21">
        <v>0</v>
      </c>
      <c r="P12" s="22">
        <v>31</v>
      </c>
      <c r="Q12" s="19"/>
      <c r="R12" s="21"/>
      <c r="S12" s="22"/>
    </row>
    <row r="13" spans="1:19" ht="39.950000000000003" customHeight="1">
      <c r="A13" s="26" t="s">
        <v>16</v>
      </c>
      <c r="B13" s="74" t="s">
        <v>33</v>
      </c>
      <c r="C13" s="37">
        <f>SUM(D13:G13)</f>
        <v>0</v>
      </c>
      <c r="D13" s="9">
        <v>0</v>
      </c>
      <c r="E13" s="9">
        <v>0</v>
      </c>
      <c r="F13" s="10">
        <v>0</v>
      </c>
      <c r="G13" s="10">
        <v>0</v>
      </c>
      <c r="H13" s="11">
        <v>0</v>
      </c>
      <c r="I13" s="33">
        <f t="shared" si="1"/>
        <v>12</v>
      </c>
      <c r="J13" s="8">
        <v>7</v>
      </c>
      <c r="K13" s="10">
        <v>5</v>
      </c>
      <c r="L13" s="11">
        <v>12</v>
      </c>
      <c r="M13" s="39">
        <f>SUM(N13:O13)</f>
        <v>1</v>
      </c>
      <c r="N13" s="19">
        <v>1</v>
      </c>
      <c r="O13" s="21">
        <v>0</v>
      </c>
      <c r="P13" s="22">
        <v>19</v>
      </c>
      <c r="Q13" s="19"/>
      <c r="R13" s="21"/>
      <c r="S13" s="22"/>
    </row>
    <row r="14" spans="1:19" ht="39.950000000000003" customHeight="1">
      <c r="A14" s="26" t="s">
        <v>27</v>
      </c>
      <c r="B14" s="72" t="s">
        <v>33</v>
      </c>
      <c r="C14" s="37">
        <f>SUM(D14:G14)</f>
        <v>0</v>
      </c>
      <c r="D14" s="9">
        <v>0</v>
      </c>
      <c r="E14" s="9">
        <v>0</v>
      </c>
      <c r="F14" s="10">
        <v>0</v>
      </c>
      <c r="G14" s="10">
        <v>0</v>
      </c>
      <c r="H14" s="11">
        <v>0</v>
      </c>
      <c r="I14" s="33">
        <f t="shared" si="1"/>
        <v>0</v>
      </c>
      <c r="J14" s="8">
        <v>0</v>
      </c>
      <c r="K14" s="10">
        <v>0</v>
      </c>
      <c r="L14" s="11">
        <v>0</v>
      </c>
      <c r="M14" s="39">
        <f t="shared" si="2"/>
        <v>4</v>
      </c>
      <c r="N14" s="19">
        <v>4</v>
      </c>
      <c r="O14" s="21">
        <v>0</v>
      </c>
      <c r="P14" s="22">
        <v>0</v>
      </c>
      <c r="Q14" s="19"/>
      <c r="R14" s="21"/>
      <c r="S14" s="22"/>
    </row>
  </sheetData>
  <mergeCells count="4">
    <mergeCell ref="C1:H1"/>
    <mergeCell ref="J1:L1"/>
    <mergeCell ref="N1:P1"/>
    <mergeCell ref="Q1:S1"/>
  </mergeCells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6"/>
  <sheetViews>
    <sheetView workbookViewId="0">
      <pane ySplit="2" topLeftCell="A3" activePane="bottomLeft" state="frozen"/>
      <selection activeCell="B9" sqref="B9"/>
      <selection pane="bottomLeft"/>
    </sheetView>
  </sheetViews>
  <sheetFormatPr baseColWidth="10" defaultColWidth="11.42578125" defaultRowHeight="12.75"/>
  <cols>
    <col min="1" max="1" width="24.7109375" customWidth="1"/>
    <col min="2" max="2" width="10.7109375" customWidth="1"/>
    <col min="3" max="19" width="9.5703125" customWidth="1"/>
  </cols>
  <sheetData>
    <row r="1" spans="1:19" ht="39.950000000000003" customHeight="1">
      <c r="A1" s="4" t="s">
        <v>17</v>
      </c>
      <c r="B1" s="4"/>
      <c r="C1" s="173" t="s">
        <v>0</v>
      </c>
      <c r="D1" s="171"/>
      <c r="E1" s="171"/>
      <c r="F1" s="171"/>
      <c r="G1" s="171"/>
      <c r="H1" s="172"/>
      <c r="I1" s="30"/>
      <c r="J1" s="171" t="s">
        <v>1</v>
      </c>
      <c r="K1" s="171"/>
      <c r="L1" s="171"/>
      <c r="M1" s="30"/>
      <c r="N1" s="171" t="s">
        <v>2</v>
      </c>
      <c r="O1" s="171"/>
      <c r="P1" s="171"/>
      <c r="Q1" s="173" t="s">
        <v>3</v>
      </c>
      <c r="R1" s="171"/>
      <c r="S1" s="172"/>
    </row>
    <row r="2" spans="1:19" ht="39.950000000000003" customHeight="1">
      <c r="A2" s="5" t="s">
        <v>24</v>
      </c>
      <c r="B2" s="46" t="s">
        <v>31</v>
      </c>
      <c r="C2" s="36" t="s">
        <v>25</v>
      </c>
      <c r="D2" s="31" t="s">
        <v>4</v>
      </c>
      <c r="E2" s="7" t="s">
        <v>18</v>
      </c>
      <c r="F2" s="6" t="s">
        <v>19</v>
      </c>
      <c r="G2" s="2" t="s">
        <v>6</v>
      </c>
      <c r="H2" s="3" t="s">
        <v>5</v>
      </c>
      <c r="I2" s="32" t="s">
        <v>25</v>
      </c>
      <c r="J2" s="1" t="s">
        <v>4</v>
      </c>
      <c r="K2" s="6" t="s">
        <v>20</v>
      </c>
      <c r="L2" s="3" t="s">
        <v>5</v>
      </c>
      <c r="M2" s="35" t="s">
        <v>25</v>
      </c>
      <c r="N2" s="1" t="s">
        <v>4</v>
      </c>
      <c r="O2" s="6" t="s">
        <v>20</v>
      </c>
      <c r="P2" s="3" t="s">
        <v>5</v>
      </c>
      <c r="Q2" s="1" t="s">
        <v>4</v>
      </c>
      <c r="R2" s="2" t="s">
        <v>6</v>
      </c>
      <c r="S2" s="3" t="s">
        <v>5</v>
      </c>
    </row>
    <row r="3" spans="1:19" ht="39.950000000000003" customHeight="1">
      <c r="A3" s="23" t="s">
        <v>10</v>
      </c>
      <c r="B3" s="70">
        <f>D3/C3</f>
        <v>0.34285714285714286</v>
      </c>
      <c r="C3" s="116">
        <f>SUM(D3:G3)</f>
        <v>70</v>
      </c>
      <c r="D3" s="9">
        <v>24</v>
      </c>
      <c r="E3" s="9">
        <v>4</v>
      </c>
      <c r="F3" s="10">
        <v>7</v>
      </c>
      <c r="G3" s="10">
        <v>35</v>
      </c>
      <c r="H3" s="11">
        <v>155</v>
      </c>
      <c r="I3" s="33">
        <f>SUM(J3:K3)</f>
        <v>0</v>
      </c>
      <c r="J3" s="8">
        <v>0</v>
      </c>
      <c r="K3" s="10">
        <v>0</v>
      </c>
      <c r="L3" s="11">
        <v>0</v>
      </c>
      <c r="M3" s="34"/>
      <c r="N3" s="12"/>
      <c r="O3" s="13"/>
      <c r="P3" s="14"/>
      <c r="Q3" s="12"/>
      <c r="R3" s="13"/>
      <c r="S3" s="14"/>
    </row>
    <row r="4" spans="1:19" ht="39.950000000000003" customHeight="1">
      <c r="A4" s="24" t="s">
        <v>26</v>
      </c>
      <c r="B4" s="70">
        <f>D4/C4</f>
        <v>0.76923076923076927</v>
      </c>
      <c r="C4" s="116">
        <v>26</v>
      </c>
      <c r="D4" s="16">
        <v>20</v>
      </c>
      <c r="E4" s="16">
        <v>2</v>
      </c>
      <c r="F4" s="17">
        <v>0</v>
      </c>
      <c r="G4" s="10">
        <v>4</v>
      </c>
      <c r="H4" s="11">
        <v>25</v>
      </c>
      <c r="I4" s="12"/>
      <c r="J4" s="12"/>
      <c r="K4" s="13"/>
      <c r="L4" s="14"/>
      <c r="M4" s="34"/>
      <c r="N4" s="12"/>
      <c r="O4" s="13"/>
      <c r="P4" s="14"/>
      <c r="Q4" s="12"/>
      <c r="R4" s="13"/>
      <c r="S4" s="14"/>
    </row>
    <row r="5" spans="1:19" ht="39.950000000000003" customHeight="1">
      <c r="A5" s="24" t="s">
        <v>7</v>
      </c>
      <c r="B5" s="70">
        <f>D5/C5</f>
        <v>1</v>
      </c>
      <c r="C5" s="116">
        <f t="shared" ref="C5:C13" si="0">SUM(D5:G5)</f>
        <v>4</v>
      </c>
      <c r="D5" s="16">
        <v>4</v>
      </c>
      <c r="E5" s="16">
        <v>0</v>
      </c>
      <c r="F5" s="17">
        <v>0</v>
      </c>
      <c r="G5" s="10">
        <v>0</v>
      </c>
      <c r="H5" s="11">
        <v>10</v>
      </c>
      <c r="I5" s="12"/>
      <c r="J5" s="12"/>
      <c r="K5" s="13"/>
      <c r="L5" s="14"/>
      <c r="M5" s="34"/>
      <c r="N5" s="12"/>
      <c r="O5" s="13"/>
      <c r="P5" s="14"/>
      <c r="Q5" s="12"/>
      <c r="R5" s="13"/>
      <c r="S5" s="14"/>
    </row>
    <row r="6" spans="1:19" ht="39.950000000000003" customHeight="1">
      <c r="A6" s="25" t="s">
        <v>8</v>
      </c>
      <c r="B6" s="70">
        <f>D6/C6</f>
        <v>1</v>
      </c>
      <c r="C6" s="116">
        <f t="shared" si="0"/>
        <v>6</v>
      </c>
      <c r="D6" s="16">
        <v>6</v>
      </c>
      <c r="E6" s="16">
        <v>0</v>
      </c>
      <c r="F6" s="17">
        <v>0</v>
      </c>
      <c r="G6" s="10">
        <v>0</v>
      </c>
      <c r="H6" s="11">
        <v>7</v>
      </c>
      <c r="I6" s="12"/>
      <c r="J6" s="12"/>
      <c r="K6" s="13"/>
      <c r="L6" s="14"/>
      <c r="M6" s="34"/>
      <c r="N6" s="12"/>
      <c r="O6" s="13"/>
      <c r="P6" s="14"/>
      <c r="Q6" s="12"/>
      <c r="R6" s="13"/>
      <c r="S6" s="14"/>
    </row>
    <row r="7" spans="1:19" ht="39.950000000000003" customHeight="1">
      <c r="A7" s="25" t="s">
        <v>30</v>
      </c>
      <c r="B7" s="70">
        <f>D7/C7</f>
        <v>0.50943396226415094</v>
      </c>
      <c r="C7" s="116">
        <f t="shared" ref="C7:H7" si="1">SUM(C3:C6)</f>
        <v>106</v>
      </c>
      <c r="D7" s="163">
        <f t="shared" si="1"/>
        <v>54</v>
      </c>
      <c r="E7" s="164">
        <f t="shared" si="1"/>
        <v>6</v>
      </c>
      <c r="F7" s="164">
        <f t="shared" si="1"/>
        <v>7</v>
      </c>
      <c r="G7" s="164">
        <f t="shared" si="1"/>
        <v>39</v>
      </c>
      <c r="H7" s="118">
        <f t="shared" si="1"/>
        <v>197</v>
      </c>
      <c r="I7" s="34"/>
      <c r="J7" s="12"/>
      <c r="K7" s="13"/>
      <c r="L7" s="14"/>
      <c r="M7" s="34"/>
      <c r="N7" s="12"/>
      <c r="O7" s="13"/>
      <c r="P7" s="14"/>
      <c r="Q7" s="12"/>
      <c r="R7" s="13"/>
      <c r="S7" s="14"/>
    </row>
    <row r="8" spans="1:19" ht="39.950000000000003" customHeight="1">
      <c r="A8" s="26" t="s">
        <v>12</v>
      </c>
      <c r="B8" s="71"/>
      <c r="C8" s="12"/>
      <c r="D8" s="18"/>
      <c r="E8" s="18"/>
      <c r="F8" s="13"/>
      <c r="G8" s="13"/>
      <c r="H8" s="14"/>
      <c r="I8" s="119">
        <f>SUM(J8:K8)</f>
        <v>16</v>
      </c>
      <c r="J8" s="8">
        <v>1</v>
      </c>
      <c r="K8" s="10">
        <v>15</v>
      </c>
      <c r="L8" s="11">
        <v>20</v>
      </c>
      <c r="M8" s="39">
        <v>6</v>
      </c>
      <c r="N8" s="8">
        <v>5</v>
      </c>
      <c r="O8" s="10">
        <v>1</v>
      </c>
      <c r="P8" s="11">
        <v>55</v>
      </c>
      <c r="Q8" s="8"/>
      <c r="R8" s="10"/>
      <c r="S8" s="11"/>
    </row>
    <row r="9" spans="1:19" ht="39.950000000000003" customHeight="1">
      <c r="A9" s="26" t="s">
        <v>13</v>
      </c>
      <c r="B9" s="71"/>
      <c r="C9" s="12"/>
      <c r="D9" s="18"/>
      <c r="E9" s="18"/>
      <c r="F9" s="13"/>
      <c r="G9" s="13"/>
      <c r="H9" s="14"/>
      <c r="I9" s="119">
        <f>SUM(J9:K9)</f>
        <v>18</v>
      </c>
      <c r="J9" s="8">
        <v>5</v>
      </c>
      <c r="K9" s="10">
        <v>13</v>
      </c>
      <c r="L9" s="11">
        <v>25</v>
      </c>
      <c r="M9" s="39">
        <v>8</v>
      </c>
      <c r="N9" s="8">
        <v>7</v>
      </c>
      <c r="O9" s="10">
        <v>1</v>
      </c>
      <c r="P9" s="11">
        <v>62</v>
      </c>
      <c r="Q9" s="8"/>
      <c r="R9" s="10"/>
      <c r="S9" s="11"/>
    </row>
    <row r="10" spans="1:19" ht="39.950000000000003" customHeight="1">
      <c r="A10" s="26" t="s">
        <v>11</v>
      </c>
      <c r="B10" s="71"/>
      <c r="C10" s="12"/>
      <c r="D10" s="18"/>
      <c r="E10" s="18"/>
      <c r="F10" s="13"/>
      <c r="G10" s="13"/>
      <c r="H10" s="14"/>
      <c r="I10" s="119">
        <v>62</v>
      </c>
      <c r="J10" s="8">
        <v>15</v>
      </c>
      <c r="K10" s="10">
        <v>47</v>
      </c>
      <c r="L10" s="11">
        <v>103</v>
      </c>
      <c r="M10" s="39">
        <v>25</v>
      </c>
      <c r="N10" s="8">
        <v>16</v>
      </c>
      <c r="O10" s="10">
        <v>9</v>
      </c>
      <c r="P10" s="11">
        <v>201</v>
      </c>
      <c r="Q10" s="8"/>
      <c r="R10" s="10"/>
      <c r="S10" s="11"/>
    </row>
    <row r="11" spans="1:19" ht="39.950000000000003" customHeight="1">
      <c r="A11" s="26" t="s">
        <v>14</v>
      </c>
      <c r="B11" s="70">
        <f>D11/C11</f>
        <v>0.54545454545454541</v>
      </c>
      <c r="C11" s="116">
        <f t="shared" si="0"/>
        <v>33</v>
      </c>
      <c r="D11" s="20">
        <v>18</v>
      </c>
      <c r="E11" s="20">
        <v>0</v>
      </c>
      <c r="F11" s="21">
        <v>0</v>
      </c>
      <c r="G11" s="21">
        <v>15</v>
      </c>
      <c r="H11" s="22">
        <v>129</v>
      </c>
      <c r="I11" s="119">
        <f>SUM(J11:K11)</f>
        <v>46</v>
      </c>
      <c r="J11" s="8">
        <v>14</v>
      </c>
      <c r="K11" s="10">
        <v>32</v>
      </c>
      <c r="L11" s="11">
        <v>119</v>
      </c>
      <c r="M11" s="39">
        <f>SUM(N11:O11)</f>
        <v>10</v>
      </c>
      <c r="N11" s="19">
        <v>8</v>
      </c>
      <c r="O11" s="21">
        <v>2</v>
      </c>
      <c r="P11" s="22">
        <v>187</v>
      </c>
      <c r="Q11" s="19"/>
      <c r="R11" s="21"/>
      <c r="S11" s="22"/>
    </row>
    <row r="12" spans="1:19" ht="39.950000000000003" customHeight="1">
      <c r="A12" s="26" t="s">
        <v>15</v>
      </c>
      <c r="B12" s="70">
        <f>D12/C12</f>
        <v>0.26315789473684209</v>
      </c>
      <c r="C12" s="116">
        <v>19</v>
      </c>
      <c r="D12" s="9">
        <v>5</v>
      </c>
      <c r="E12" s="9">
        <v>1</v>
      </c>
      <c r="F12" s="10">
        <v>1</v>
      </c>
      <c r="G12" s="10">
        <v>12</v>
      </c>
      <c r="H12" s="11">
        <v>61</v>
      </c>
      <c r="I12" s="119">
        <v>15</v>
      </c>
      <c r="J12" s="8">
        <v>3</v>
      </c>
      <c r="K12" s="10">
        <v>12</v>
      </c>
      <c r="L12" s="11">
        <v>45</v>
      </c>
      <c r="M12" s="39">
        <v>7</v>
      </c>
      <c r="N12" s="19">
        <v>7</v>
      </c>
      <c r="O12" s="21">
        <v>0</v>
      </c>
      <c r="P12" s="22">
        <v>31</v>
      </c>
      <c r="Q12" s="19"/>
      <c r="R12" s="21"/>
      <c r="S12" s="22"/>
    </row>
    <row r="13" spans="1:19" ht="39.950000000000003" customHeight="1">
      <c r="A13" s="26" t="s">
        <v>16</v>
      </c>
      <c r="B13" s="72" t="s">
        <v>33</v>
      </c>
      <c r="C13" s="116">
        <f t="shared" si="0"/>
        <v>0</v>
      </c>
      <c r="D13" s="9">
        <v>0</v>
      </c>
      <c r="E13" s="9">
        <v>0</v>
      </c>
      <c r="F13" s="10">
        <v>0</v>
      </c>
      <c r="G13" s="10">
        <v>0</v>
      </c>
      <c r="H13" s="11">
        <v>0</v>
      </c>
      <c r="I13" s="119">
        <v>6</v>
      </c>
      <c r="J13" s="8">
        <v>5</v>
      </c>
      <c r="K13" s="10">
        <v>1</v>
      </c>
      <c r="L13" s="11">
        <v>0</v>
      </c>
      <c r="M13" s="39">
        <v>6</v>
      </c>
      <c r="N13" s="19">
        <v>4</v>
      </c>
      <c r="O13" s="21">
        <v>2</v>
      </c>
      <c r="P13" s="22">
        <v>13</v>
      </c>
      <c r="Q13" s="19"/>
      <c r="R13" s="21"/>
      <c r="S13" s="22"/>
    </row>
    <row r="15" spans="1:19" ht="39.950000000000003" customHeight="1"/>
    <row r="16" spans="1:19" ht="39.950000000000003" customHeight="1">
      <c r="A16" s="38"/>
      <c r="B16" s="38"/>
    </row>
    <row r="17" ht="25.5" customHeight="1"/>
    <row r="18" ht="25.5" customHeight="1"/>
    <row r="19" ht="25.5" customHeight="1"/>
    <row r="20" ht="25.5" customHeight="1"/>
    <row r="21" ht="25.5" customHeight="1"/>
    <row r="22" ht="25.5" customHeight="1"/>
    <row r="23" ht="25.5" customHeight="1"/>
    <row r="24" ht="25.5" customHeight="1"/>
    <row r="25" ht="25.5" customHeight="1"/>
    <row r="26" ht="25.5" customHeight="1"/>
  </sheetData>
  <mergeCells count="4">
    <mergeCell ref="C1:H1"/>
    <mergeCell ref="J1:L1"/>
    <mergeCell ref="N1:P1"/>
    <mergeCell ref="Q1:S1"/>
  </mergeCells>
  <phoneticPr fontId="1" type="noConversion"/>
  <pageMargins left="0.35433070866141736" right="0.35433070866141736" top="0.98425196850393704" bottom="0.98425196850393704" header="0" footer="0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9"/>
  <sheetViews>
    <sheetView zoomScaleNormal="100" workbookViewId="0">
      <pane ySplit="2" topLeftCell="A3" activePane="bottomLeft" state="frozen"/>
      <selection pane="bottomLeft" activeCell="J12" sqref="J12"/>
    </sheetView>
  </sheetViews>
  <sheetFormatPr baseColWidth="10" defaultColWidth="11.42578125" defaultRowHeight="12.75"/>
  <cols>
    <col min="1" max="1" width="24.7109375" customWidth="1"/>
    <col min="2" max="2" width="10.7109375" customWidth="1"/>
  </cols>
  <sheetData>
    <row r="1" spans="1:19" ht="39.950000000000003" customHeight="1">
      <c r="A1" s="4" t="s">
        <v>17</v>
      </c>
      <c r="B1" s="4"/>
      <c r="C1" s="173" t="s">
        <v>0</v>
      </c>
      <c r="D1" s="171"/>
      <c r="E1" s="171"/>
      <c r="F1" s="171"/>
      <c r="G1" s="171"/>
      <c r="H1" s="172"/>
      <c r="I1" s="30"/>
      <c r="J1" s="171" t="s">
        <v>1</v>
      </c>
      <c r="K1" s="171"/>
      <c r="L1" s="171"/>
      <c r="M1" s="30"/>
      <c r="N1" s="171" t="s">
        <v>2</v>
      </c>
      <c r="O1" s="171"/>
      <c r="P1" s="171"/>
      <c r="Q1" s="173" t="s">
        <v>3</v>
      </c>
      <c r="R1" s="171"/>
      <c r="S1" s="172"/>
    </row>
    <row r="2" spans="1:19" ht="39.950000000000003" customHeight="1">
      <c r="A2" s="5" t="s">
        <v>28</v>
      </c>
      <c r="B2" s="46" t="s">
        <v>32</v>
      </c>
      <c r="C2" s="36" t="s">
        <v>25</v>
      </c>
      <c r="D2" s="31" t="s">
        <v>4</v>
      </c>
      <c r="E2" s="7" t="s">
        <v>18</v>
      </c>
      <c r="F2" s="6" t="s">
        <v>19</v>
      </c>
      <c r="G2" s="2" t="s">
        <v>6</v>
      </c>
      <c r="H2" s="3" t="s">
        <v>5</v>
      </c>
      <c r="I2" s="32" t="s">
        <v>25</v>
      </c>
      <c r="J2" s="1" t="s">
        <v>4</v>
      </c>
      <c r="K2" s="6" t="s">
        <v>20</v>
      </c>
      <c r="L2" s="3" t="s">
        <v>5</v>
      </c>
      <c r="M2" s="35" t="s">
        <v>25</v>
      </c>
      <c r="N2" s="1" t="s">
        <v>4</v>
      </c>
      <c r="O2" s="6" t="s">
        <v>20</v>
      </c>
      <c r="P2" s="3" t="s">
        <v>5</v>
      </c>
      <c r="Q2" s="1" t="s">
        <v>4</v>
      </c>
      <c r="R2" s="2" t="s">
        <v>6</v>
      </c>
      <c r="S2" s="3" t="s">
        <v>5</v>
      </c>
    </row>
    <row r="3" spans="1:19" ht="39.950000000000003" customHeight="1">
      <c r="A3" s="23" t="s">
        <v>10</v>
      </c>
      <c r="B3" s="70">
        <f>D3/C3</f>
        <v>0.40123456790123457</v>
      </c>
      <c r="C3" s="37">
        <f>SUM(D3:G3)</f>
        <v>162</v>
      </c>
      <c r="D3" s="9">
        <v>65</v>
      </c>
      <c r="E3" s="9">
        <v>25</v>
      </c>
      <c r="F3" s="10">
        <v>21</v>
      </c>
      <c r="G3" s="10">
        <v>51</v>
      </c>
      <c r="H3" s="11">
        <v>48</v>
      </c>
      <c r="I3" s="33">
        <f>SUM(J3:K3)</f>
        <v>4</v>
      </c>
      <c r="J3" s="8">
        <v>1</v>
      </c>
      <c r="K3" s="10">
        <v>3</v>
      </c>
      <c r="L3" s="11">
        <v>44</v>
      </c>
      <c r="M3" s="34"/>
      <c r="N3" s="12"/>
      <c r="O3" s="13"/>
      <c r="P3" s="14"/>
      <c r="Q3" s="12"/>
      <c r="R3" s="13"/>
      <c r="S3" s="14"/>
    </row>
    <row r="4" spans="1:19" ht="39.950000000000003" customHeight="1">
      <c r="A4" s="24" t="s">
        <v>26</v>
      </c>
      <c r="B4" s="70">
        <f t="shared" ref="B4:B13" si="0">D4/C4</f>
        <v>0.47619047619047616</v>
      </c>
      <c r="C4" s="37">
        <f>SUM(D4:G4)</f>
        <v>21</v>
      </c>
      <c r="D4" s="16">
        <v>10</v>
      </c>
      <c r="E4" s="16">
        <v>5</v>
      </c>
      <c r="F4" s="17">
        <v>1</v>
      </c>
      <c r="G4" s="10">
        <v>5</v>
      </c>
      <c r="H4" s="11">
        <v>17</v>
      </c>
      <c r="I4" s="12"/>
      <c r="J4" s="12"/>
      <c r="K4" s="13"/>
      <c r="L4" s="14"/>
      <c r="M4" s="34"/>
      <c r="N4" s="12"/>
      <c r="O4" s="13"/>
      <c r="P4" s="14"/>
      <c r="Q4" s="12"/>
      <c r="R4" s="13"/>
      <c r="S4" s="14"/>
    </row>
    <row r="5" spans="1:19" ht="39.950000000000003" customHeight="1">
      <c r="A5" s="24" t="s">
        <v>7</v>
      </c>
      <c r="B5" s="70">
        <f t="shared" si="0"/>
        <v>0.2</v>
      </c>
      <c r="C5" s="37">
        <f>SUM(D5:G5)</f>
        <v>10</v>
      </c>
      <c r="D5" s="16">
        <v>2</v>
      </c>
      <c r="E5" s="16">
        <v>5</v>
      </c>
      <c r="F5" s="17">
        <v>1</v>
      </c>
      <c r="G5" s="10">
        <v>2</v>
      </c>
      <c r="H5" s="11">
        <v>2</v>
      </c>
      <c r="I5" s="12"/>
      <c r="J5" s="12"/>
      <c r="K5" s="13"/>
      <c r="L5" s="14"/>
      <c r="M5" s="34"/>
      <c r="N5" s="12"/>
      <c r="O5" s="13"/>
      <c r="P5" s="14"/>
      <c r="Q5" s="12"/>
      <c r="R5" s="13"/>
      <c r="S5" s="14"/>
    </row>
    <row r="6" spans="1:19" ht="39.950000000000003" customHeight="1">
      <c r="A6" s="25" t="s">
        <v>8</v>
      </c>
      <c r="B6" s="70">
        <f t="shared" si="0"/>
        <v>0.42857142857142855</v>
      </c>
      <c r="C6" s="37">
        <f>SUM(D6:G6)</f>
        <v>7</v>
      </c>
      <c r="D6" s="16">
        <v>3</v>
      </c>
      <c r="E6" s="16">
        <v>4</v>
      </c>
      <c r="F6" s="17">
        <v>0</v>
      </c>
      <c r="G6" s="10">
        <v>0</v>
      </c>
      <c r="H6" s="11">
        <v>6</v>
      </c>
      <c r="I6" s="12"/>
      <c r="J6" s="12"/>
      <c r="K6" s="13"/>
      <c r="L6" s="14"/>
      <c r="M6" s="34"/>
      <c r="N6" s="12"/>
      <c r="O6" s="13"/>
      <c r="P6" s="14"/>
      <c r="Q6" s="12"/>
      <c r="R6" s="13"/>
      <c r="S6" s="14"/>
    </row>
    <row r="7" spans="1:19" ht="39.950000000000003" customHeight="1">
      <c r="A7" s="25" t="s">
        <v>30</v>
      </c>
      <c r="B7" s="70">
        <f t="shared" si="0"/>
        <v>0.4</v>
      </c>
      <c r="C7" s="37">
        <f t="shared" ref="C7:H7" si="1">SUM(C3:C6)</f>
        <v>200</v>
      </c>
      <c r="D7" s="16">
        <f t="shared" si="1"/>
        <v>80</v>
      </c>
      <c r="E7" s="16">
        <f t="shared" si="1"/>
        <v>39</v>
      </c>
      <c r="F7" s="16">
        <f t="shared" si="1"/>
        <v>23</v>
      </c>
      <c r="G7" s="16">
        <f t="shared" si="1"/>
        <v>58</v>
      </c>
      <c r="H7" s="16">
        <f t="shared" si="1"/>
        <v>73</v>
      </c>
      <c r="I7" s="34"/>
      <c r="J7" s="12"/>
      <c r="K7" s="13"/>
      <c r="L7" s="14"/>
      <c r="M7" s="34"/>
      <c r="N7" s="12"/>
      <c r="O7" s="13"/>
      <c r="P7" s="14"/>
      <c r="Q7" s="12"/>
      <c r="R7" s="13"/>
      <c r="S7" s="14"/>
    </row>
    <row r="8" spans="1:19" ht="39.950000000000003" customHeight="1">
      <c r="A8" s="26" t="s">
        <v>12</v>
      </c>
      <c r="B8" s="70"/>
      <c r="C8" s="12"/>
      <c r="D8" s="18"/>
      <c r="E8" s="18"/>
      <c r="F8" s="13"/>
      <c r="G8" s="13"/>
      <c r="H8" s="14"/>
      <c r="I8" s="33">
        <f t="shared" ref="I8:I13" si="2">SUM(J8:K8)</f>
        <v>40</v>
      </c>
      <c r="J8" s="8">
        <v>16</v>
      </c>
      <c r="K8" s="10">
        <v>24</v>
      </c>
      <c r="L8" s="11">
        <v>51</v>
      </c>
      <c r="M8" s="39">
        <f t="shared" ref="M8:M13" si="3">SUM(N8:O8)</f>
        <v>6</v>
      </c>
      <c r="N8" s="8">
        <v>5</v>
      </c>
      <c r="O8" s="10">
        <v>1</v>
      </c>
      <c r="P8" s="11">
        <v>47</v>
      </c>
      <c r="Q8" s="8"/>
      <c r="R8" s="10"/>
      <c r="S8" s="11"/>
    </row>
    <row r="9" spans="1:19" ht="39.950000000000003" customHeight="1">
      <c r="A9" s="26" t="s">
        <v>13</v>
      </c>
      <c r="B9" s="70"/>
      <c r="C9" s="12"/>
      <c r="D9" s="18"/>
      <c r="E9" s="18"/>
      <c r="F9" s="13"/>
      <c r="G9" s="13"/>
      <c r="H9" s="14"/>
      <c r="I9" s="33">
        <f t="shared" si="2"/>
        <v>38</v>
      </c>
      <c r="J9" s="8">
        <v>19</v>
      </c>
      <c r="K9" s="10">
        <v>19</v>
      </c>
      <c r="L9" s="11">
        <v>7</v>
      </c>
      <c r="M9" s="39">
        <f t="shared" si="3"/>
        <v>11</v>
      </c>
      <c r="N9" s="8">
        <v>9</v>
      </c>
      <c r="O9" s="10">
        <v>2</v>
      </c>
      <c r="P9" s="11">
        <v>50</v>
      </c>
      <c r="Q9" s="8"/>
      <c r="R9" s="10"/>
      <c r="S9" s="11"/>
    </row>
    <row r="10" spans="1:19" ht="39.950000000000003" customHeight="1">
      <c r="A10" s="26" t="s">
        <v>11</v>
      </c>
      <c r="B10" s="70"/>
      <c r="C10" s="12"/>
      <c r="D10" s="18"/>
      <c r="E10" s="18"/>
      <c r="F10" s="13"/>
      <c r="G10" s="13"/>
      <c r="H10" s="14"/>
      <c r="I10" s="33">
        <f>SUM(J10:K10)</f>
        <v>152</v>
      </c>
      <c r="J10" s="8">
        <v>62</v>
      </c>
      <c r="K10" s="10">
        <v>90</v>
      </c>
      <c r="L10" s="11">
        <v>60</v>
      </c>
      <c r="M10" s="39">
        <f>SUM(N10:O10)</f>
        <v>24</v>
      </c>
      <c r="N10" s="8">
        <v>19</v>
      </c>
      <c r="O10" s="10">
        <v>5</v>
      </c>
      <c r="P10" s="11">
        <v>181</v>
      </c>
      <c r="Q10" s="8"/>
      <c r="R10" s="10"/>
      <c r="S10" s="11"/>
    </row>
    <row r="11" spans="1:19" ht="39.950000000000003" customHeight="1">
      <c r="A11" s="26" t="s">
        <v>14</v>
      </c>
      <c r="B11" s="70">
        <f t="shared" si="0"/>
        <v>0.51351351351351349</v>
      </c>
      <c r="C11" s="37">
        <f>SUM(D11:G11)</f>
        <v>111</v>
      </c>
      <c r="D11" s="20">
        <v>57</v>
      </c>
      <c r="E11" s="20">
        <v>11</v>
      </c>
      <c r="F11" s="21">
        <v>8</v>
      </c>
      <c r="G11" s="21">
        <v>35</v>
      </c>
      <c r="H11" s="22">
        <v>28</v>
      </c>
      <c r="I11" s="40">
        <f t="shared" si="2"/>
        <v>0</v>
      </c>
      <c r="J11" s="8"/>
      <c r="K11" s="10"/>
      <c r="L11" s="11"/>
      <c r="M11" s="41">
        <f t="shared" si="3"/>
        <v>0</v>
      </c>
      <c r="N11" s="19"/>
      <c r="O11" s="21"/>
      <c r="P11" s="22"/>
      <c r="Q11" s="19"/>
      <c r="R11" s="21"/>
      <c r="S11" s="22"/>
    </row>
    <row r="12" spans="1:19" ht="39.950000000000003" customHeight="1">
      <c r="A12" s="26" t="s">
        <v>15</v>
      </c>
      <c r="B12" s="70">
        <f t="shared" si="0"/>
        <v>0.23728813559322035</v>
      </c>
      <c r="C12" s="37">
        <f>SUM(D12:G12)</f>
        <v>59</v>
      </c>
      <c r="D12" s="9">
        <v>14</v>
      </c>
      <c r="E12" s="9">
        <v>17</v>
      </c>
      <c r="F12" s="10">
        <v>7</v>
      </c>
      <c r="G12" s="10">
        <v>21</v>
      </c>
      <c r="H12" s="11">
        <v>13</v>
      </c>
      <c r="I12" s="40">
        <f t="shared" si="2"/>
        <v>0</v>
      </c>
      <c r="J12" s="8"/>
      <c r="K12" s="10"/>
      <c r="L12" s="11"/>
      <c r="M12" s="41">
        <f t="shared" si="3"/>
        <v>0</v>
      </c>
      <c r="N12" s="19"/>
      <c r="O12" s="21"/>
      <c r="P12" s="22"/>
      <c r="Q12" s="19"/>
      <c r="R12" s="21"/>
      <c r="S12" s="22"/>
    </row>
    <row r="13" spans="1:19" ht="39.950000000000003" customHeight="1">
      <c r="A13" s="26" t="s">
        <v>16</v>
      </c>
      <c r="B13" s="69">
        <f t="shared" si="0"/>
        <v>0</v>
      </c>
      <c r="C13" s="37">
        <f>SUM(D13:G13)</f>
        <v>1</v>
      </c>
      <c r="D13" s="9">
        <v>0</v>
      </c>
      <c r="E13" s="9">
        <v>0</v>
      </c>
      <c r="F13" s="10">
        <v>1</v>
      </c>
      <c r="G13" s="10">
        <v>0</v>
      </c>
      <c r="H13" s="11">
        <v>0</v>
      </c>
      <c r="I13" s="40">
        <f t="shared" si="2"/>
        <v>1</v>
      </c>
      <c r="J13" s="8">
        <v>0</v>
      </c>
      <c r="K13" s="10">
        <v>1</v>
      </c>
      <c r="L13" s="11">
        <v>0</v>
      </c>
      <c r="M13" s="41">
        <f t="shared" si="3"/>
        <v>4</v>
      </c>
      <c r="N13" s="19">
        <v>4</v>
      </c>
      <c r="O13" s="21">
        <v>0</v>
      </c>
      <c r="P13" s="22">
        <v>11</v>
      </c>
      <c r="Q13" s="19"/>
      <c r="R13" s="21"/>
      <c r="S13" s="22"/>
    </row>
    <row r="15" spans="1:19" ht="39.950000000000003" customHeight="1"/>
    <row r="16" spans="1:19" ht="39.950000000000003" customHeight="1">
      <c r="A16" s="38"/>
      <c r="B16" s="38"/>
    </row>
    <row r="17" ht="39.950000000000003" customHeight="1"/>
    <row r="18" ht="39.950000000000003" customHeight="1"/>
    <row r="19" ht="39.950000000000003" customHeight="1"/>
    <row r="20" ht="39.950000000000003" customHeight="1"/>
    <row r="21" ht="39.950000000000003" customHeight="1"/>
    <row r="22" ht="39.950000000000003" customHeight="1"/>
    <row r="23" ht="39.950000000000003" customHeight="1"/>
    <row r="24" ht="39.950000000000003" customHeight="1"/>
    <row r="25" ht="39.950000000000003" customHeight="1"/>
    <row r="26" ht="39.950000000000003" customHeight="1"/>
    <row r="27" ht="39.950000000000003" customHeight="1"/>
    <row r="28" ht="39.950000000000003" customHeight="1"/>
    <row r="29" ht="39.950000000000003" customHeight="1"/>
    <row r="30" ht="39.950000000000003" customHeight="1"/>
    <row r="31" ht="39.950000000000003" customHeight="1"/>
    <row r="32" ht="39.950000000000003" customHeight="1"/>
    <row r="33" ht="39.950000000000003" customHeight="1"/>
    <row r="34" ht="39.950000000000003" customHeight="1"/>
    <row r="35" ht="39.950000000000003" customHeight="1"/>
    <row r="36" ht="39.950000000000003" customHeight="1"/>
    <row r="37" ht="39.950000000000003" customHeight="1"/>
    <row r="38" ht="39.950000000000003" customHeight="1"/>
    <row r="39" ht="39.950000000000003" customHeight="1"/>
  </sheetData>
  <mergeCells count="4">
    <mergeCell ref="C1:H1"/>
    <mergeCell ref="J1:L1"/>
    <mergeCell ref="N1:P1"/>
    <mergeCell ref="Q1:S1"/>
  </mergeCells>
  <pageMargins left="0.31496062992125984" right="0.31496062992125984" top="0.74803149606299213" bottom="0.74803149606299213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workbookViewId="0">
      <pane ySplit="2" topLeftCell="A3" activePane="bottomLeft" state="frozen"/>
      <selection pane="bottomLeft" activeCell="I8" sqref="I8:I13"/>
    </sheetView>
  </sheetViews>
  <sheetFormatPr baseColWidth="10" defaultColWidth="11.42578125" defaultRowHeight="12.75"/>
  <cols>
    <col min="1" max="1" width="24.7109375" customWidth="1"/>
  </cols>
  <sheetData>
    <row r="1" spans="1:15" ht="39.950000000000003" customHeight="1">
      <c r="A1" s="4" t="s">
        <v>17</v>
      </c>
      <c r="B1" s="4"/>
      <c r="C1" s="173" t="s">
        <v>0</v>
      </c>
      <c r="D1" s="171"/>
      <c r="E1" s="171"/>
      <c r="F1" s="171"/>
      <c r="G1" s="171"/>
      <c r="H1" s="172"/>
      <c r="I1" s="30"/>
      <c r="J1" s="171" t="s">
        <v>2</v>
      </c>
      <c r="K1" s="171"/>
      <c r="L1" s="171"/>
      <c r="M1" s="173" t="s">
        <v>3</v>
      </c>
      <c r="N1" s="171"/>
      <c r="O1" s="172"/>
    </row>
    <row r="2" spans="1:15" ht="39.950000000000003" customHeight="1">
      <c r="A2" s="5" t="s">
        <v>42</v>
      </c>
      <c r="B2" s="46" t="s">
        <v>31</v>
      </c>
      <c r="C2" s="36" t="s">
        <v>25</v>
      </c>
      <c r="D2" s="31" t="s">
        <v>4</v>
      </c>
      <c r="E2" s="7" t="s">
        <v>18</v>
      </c>
      <c r="F2" s="6" t="s">
        <v>19</v>
      </c>
      <c r="G2" s="2" t="s">
        <v>6</v>
      </c>
      <c r="H2" s="3" t="s">
        <v>5</v>
      </c>
      <c r="I2" s="35" t="s">
        <v>25</v>
      </c>
      <c r="J2" s="1" t="s">
        <v>4</v>
      </c>
      <c r="K2" s="6" t="s">
        <v>20</v>
      </c>
      <c r="L2" s="3" t="s">
        <v>5</v>
      </c>
      <c r="M2" s="1" t="s">
        <v>4</v>
      </c>
      <c r="N2" s="2" t="s">
        <v>6</v>
      </c>
      <c r="O2" s="3" t="s">
        <v>5</v>
      </c>
    </row>
    <row r="3" spans="1:15" ht="39.950000000000003" customHeight="1">
      <c r="A3" s="23" t="s">
        <v>10</v>
      </c>
      <c r="B3" s="69">
        <f>D3/C3</f>
        <v>0.29268292682926828</v>
      </c>
      <c r="C3" s="116">
        <f>SUM(D3:G3)</f>
        <v>82</v>
      </c>
      <c r="D3" s="9">
        <v>24</v>
      </c>
      <c r="E3" s="9">
        <v>9</v>
      </c>
      <c r="F3" s="10">
        <v>13</v>
      </c>
      <c r="G3" s="10">
        <v>36</v>
      </c>
      <c r="H3" s="11">
        <v>121</v>
      </c>
      <c r="I3" s="34"/>
      <c r="J3" s="12"/>
      <c r="K3" s="13"/>
      <c r="L3" s="14"/>
      <c r="M3" s="66"/>
      <c r="N3" s="67"/>
      <c r="O3" s="68"/>
    </row>
    <row r="4" spans="1:15" ht="39.950000000000003" customHeight="1">
      <c r="A4" s="24" t="s">
        <v>26</v>
      </c>
      <c r="B4" s="69">
        <f>D4/C4</f>
        <v>0.47368421052631576</v>
      </c>
      <c r="C4" s="116">
        <f t="shared" ref="C4:C13" si="0">SUM(D4:G4)</f>
        <v>19</v>
      </c>
      <c r="D4" s="9">
        <f>7+1+1</f>
        <v>9</v>
      </c>
      <c r="E4" s="9">
        <v>3</v>
      </c>
      <c r="F4" s="10">
        <v>2</v>
      </c>
      <c r="G4" s="10">
        <f>3+2</f>
        <v>5</v>
      </c>
      <c r="H4" s="11">
        <v>35</v>
      </c>
      <c r="I4" s="34"/>
      <c r="J4" s="12"/>
      <c r="K4" s="13"/>
      <c r="L4" s="14"/>
      <c r="M4" s="66"/>
      <c r="N4" s="67"/>
      <c r="O4" s="68"/>
    </row>
    <row r="5" spans="1:15" ht="39.950000000000003" customHeight="1">
      <c r="A5" s="24" t="s">
        <v>7</v>
      </c>
      <c r="B5" s="69">
        <f>D5/C5</f>
        <v>0.5</v>
      </c>
      <c r="C5" s="116">
        <f t="shared" si="0"/>
        <v>4</v>
      </c>
      <c r="D5" s="9">
        <f>1+1</f>
        <v>2</v>
      </c>
      <c r="E5" s="9">
        <v>0</v>
      </c>
      <c r="F5" s="10">
        <v>1</v>
      </c>
      <c r="G5" s="10">
        <v>1</v>
      </c>
      <c r="H5" s="11">
        <v>7</v>
      </c>
      <c r="I5" s="34"/>
      <c r="J5" s="12"/>
      <c r="K5" s="13"/>
      <c r="L5" s="14"/>
      <c r="M5" s="66"/>
      <c r="N5" s="67"/>
      <c r="O5" s="68"/>
    </row>
    <row r="6" spans="1:15" ht="39.950000000000003" customHeight="1">
      <c r="A6" s="25" t="s">
        <v>8</v>
      </c>
      <c r="B6" s="69">
        <f>D6/C6</f>
        <v>0.2857142857142857</v>
      </c>
      <c r="C6" s="116">
        <f t="shared" si="0"/>
        <v>7</v>
      </c>
      <c r="D6" s="9">
        <f>1+1</f>
        <v>2</v>
      </c>
      <c r="E6" s="9">
        <v>4</v>
      </c>
      <c r="F6" s="10">
        <v>0</v>
      </c>
      <c r="G6" s="10">
        <v>1</v>
      </c>
      <c r="H6" s="11">
        <v>6</v>
      </c>
      <c r="I6" s="34"/>
      <c r="J6" s="12"/>
      <c r="K6" s="13"/>
      <c r="L6" s="14"/>
      <c r="M6" s="66"/>
      <c r="N6" s="67"/>
      <c r="O6" s="68"/>
    </row>
    <row r="7" spans="1:15" ht="39.950000000000003" customHeight="1">
      <c r="A7" s="25" t="s">
        <v>30</v>
      </c>
      <c r="B7" s="70">
        <f>D7/C7</f>
        <v>0.33035714285714285</v>
      </c>
      <c r="C7" s="116">
        <f t="shared" ref="C7:H7" si="1">SUM(C3:C6)</f>
        <v>112</v>
      </c>
      <c r="D7" s="117">
        <f t="shared" si="1"/>
        <v>37</v>
      </c>
      <c r="E7" s="117">
        <f t="shared" si="1"/>
        <v>16</v>
      </c>
      <c r="F7" s="117">
        <f t="shared" si="1"/>
        <v>16</v>
      </c>
      <c r="G7" s="117">
        <f t="shared" si="1"/>
        <v>43</v>
      </c>
      <c r="H7" s="118">
        <f t="shared" si="1"/>
        <v>169</v>
      </c>
      <c r="I7" s="34"/>
      <c r="J7" s="12"/>
      <c r="K7" s="13"/>
      <c r="L7" s="14"/>
      <c r="M7" s="66"/>
      <c r="N7" s="67"/>
      <c r="O7" s="68"/>
    </row>
    <row r="8" spans="1:15" ht="39.950000000000003" customHeight="1">
      <c r="A8" s="26" t="s">
        <v>12</v>
      </c>
      <c r="B8" s="71"/>
      <c r="C8" s="12"/>
      <c r="D8" s="18"/>
      <c r="E8" s="18"/>
      <c r="F8" s="13"/>
      <c r="G8" s="13"/>
      <c r="H8" s="14"/>
      <c r="I8" s="119">
        <f t="shared" ref="I8:I13" si="2">SUM(J8:K8)</f>
        <v>12</v>
      </c>
      <c r="J8" s="8">
        <f>3+2+1</f>
        <v>6</v>
      </c>
      <c r="K8" s="10">
        <v>6</v>
      </c>
      <c r="L8" s="11">
        <v>72</v>
      </c>
      <c r="M8" s="80"/>
      <c r="N8" s="81"/>
      <c r="O8" s="82"/>
    </row>
    <row r="9" spans="1:15" ht="39.950000000000003" customHeight="1">
      <c r="A9" s="26" t="s">
        <v>13</v>
      </c>
      <c r="B9" s="71"/>
      <c r="C9" s="12"/>
      <c r="D9" s="18"/>
      <c r="E9" s="18"/>
      <c r="F9" s="13"/>
      <c r="G9" s="13"/>
      <c r="H9" s="14"/>
      <c r="I9" s="119">
        <f t="shared" si="2"/>
        <v>12</v>
      </c>
      <c r="J9" s="8">
        <v>11</v>
      </c>
      <c r="K9" s="10">
        <v>1</v>
      </c>
      <c r="L9" s="11">
        <v>73</v>
      </c>
      <c r="M9" s="80"/>
      <c r="N9" s="81"/>
      <c r="O9" s="82"/>
    </row>
    <row r="10" spans="1:15" ht="39.950000000000003" customHeight="1">
      <c r="A10" s="26" t="s">
        <v>11</v>
      </c>
      <c r="B10" s="71"/>
      <c r="C10" s="12"/>
      <c r="D10" s="18"/>
      <c r="E10" s="18"/>
      <c r="F10" s="13"/>
      <c r="G10" s="13"/>
      <c r="H10" s="14"/>
      <c r="I10" s="119">
        <f>SUM(J10:K10)</f>
        <v>21</v>
      </c>
      <c r="J10" s="8">
        <f>7+6</f>
        <v>13</v>
      </c>
      <c r="K10" s="10">
        <v>8</v>
      </c>
      <c r="L10" s="11">
        <v>318</v>
      </c>
      <c r="M10" s="80"/>
      <c r="N10" s="81"/>
      <c r="O10" s="82"/>
    </row>
    <row r="11" spans="1:15" ht="39.950000000000003" customHeight="1">
      <c r="A11" s="26" t="s">
        <v>14</v>
      </c>
      <c r="B11" s="70">
        <f>D11/C11</f>
        <v>0.27906976744186046</v>
      </c>
      <c r="C11" s="116">
        <f t="shared" si="0"/>
        <v>43</v>
      </c>
      <c r="D11" s="20">
        <f>3+5+4</f>
        <v>12</v>
      </c>
      <c r="E11" s="20">
        <v>2</v>
      </c>
      <c r="F11" s="21">
        <v>3</v>
      </c>
      <c r="G11" s="21">
        <f>3+7+16</f>
        <v>26</v>
      </c>
      <c r="H11" s="22">
        <v>113</v>
      </c>
      <c r="I11" s="119">
        <f t="shared" si="2"/>
        <v>16</v>
      </c>
      <c r="J11" s="19">
        <f>10+4</f>
        <v>14</v>
      </c>
      <c r="K11" s="21">
        <v>2</v>
      </c>
      <c r="L11" s="22">
        <v>283</v>
      </c>
      <c r="M11" s="80"/>
      <c r="N11" s="81"/>
      <c r="O11" s="82"/>
    </row>
    <row r="12" spans="1:15" ht="39.950000000000003" customHeight="1">
      <c r="A12" s="26" t="s">
        <v>15</v>
      </c>
      <c r="B12" s="70">
        <f>D12/C12</f>
        <v>0.53333333333333333</v>
      </c>
      <c r="C12" s="116">
        <f t="shared" si="0"/>
        <v>30</v>
      </c>
      <c r="D12" s="20">
        <v>16</v>
      </c>
      <c r="E12" s="20">
        <v>1</v>
      </c>
      <c r="F12" s="21">
        <v>4</v>
      </c>
      <c r="G12" s="21">
        <v>9</v>
      </c>
      <c r="H12" s="22">
        <v>56</v>
      </c>
      <c r="I12" s="119">
        <f t="shared" si="2"/>
        <v>5</v>
      </c>
      <c r="J12" s="19">
        <f>3+2</f>
        <v>5</v>
      </c>
      <c r="K12" s="21">
        <v>0</v>
      </c>
      <c r="L12" s="22">
        <v>71</v>
      </c>
      <c r="M12" s="80"/>
      <c r="N12" s="81"/>
      <c r="O12" s="82"/>
    </row>
    <row r="13" spans="1:15" ht="39.950000000000003" customHeight="1">
      <c r="A13" s="26" t="s">
        <v>16</v>
      </c>
      <c r="B13" s="69">
        <f>D13/C13</f>
        <v>0</v>
      </c>
      <c r="C13" s="116">
        <f t="shared" si="0"/>
        <v>1</v>
      </c>
      <c r="D13" s="20">
        <v>0</v>
      </c>
      <c r="E13" s="20">
        <v>0</v>
      </c>
      <c r="F13" s="21">
        <v>1</v>
      </c>
      <c r="G13" s="21">
        <v>0</v>
      </c>
      <c r="H13" s="22">
        <v>0</v>
      </c>
      <c r="I13" s="119">
        <f t="shared" si="2"/>
        <v>2</v>
      </c>
      <c r="J13" s="19">
        <v>1</v>
      </c>
      <c r="K13" s="21">
        <v>1</v>
      </c>
      <c r="L13" s="22">
        <v>8</v>
      </c>
      <c r="M13" s="80"/>
      <c r="N13" s="81"/>
      <c r="O13" s="82"/>
    </row>
  </sheetData>
  <mergeCells count="3">
    <mergeCell ref="C1:H1"/>
    <mergeCell ref="J1:L1"/>
    <mergeCell ref="M1:O1"/>
  </mergeCells>
  <pageMargins left="0.51181102362204722" right="0.51181102362204722" top="0.94488188976377963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Normal="100" workbookViewId="0">
      <pane ySplit="2" topLeftCell="A3" activePane="bottomLeft" state="frozen"/>
      <selection pane="bottomLeft" activeCell="I8" sqref="I8:I13"/>
    </sheetView>
  </sheetViews>
  <sheetFormatPr baseColWidth="10" defaultColWidth="11.42578125" defaultRowHeight="12.75"/>
  <cols>
    <col min="1" max="1" width="24.7109375" customWidth="1"/>
    <col min="2" max="2" width="10.7109375" customWidth="1"/>
  </cols>
  <sheetData>
    <row r="1" spans="1:15" ht="39.950000000000003" customHeight="1">
      <c r="A1" s="4" t="s">
        <v>17</v>
      </c>
      <c r="B1" s="4"/>
      <c r="C1" s="173" t="s">
        <v>0</v>
      </c>
      <c r="D1" s="171"/>
      <c r="E1" s="171"/>
      <c r="F1" s="171"/>
      <c r="G1" s="171"/>
      <c r="H1" s="172"/>
      <c r="I1" s="30"/>
      <c r="J1" s="171" t="s">
        <v>2</v>
      </c>
      <c r="K1" s="171"/>
      <c r="L1" s="171"/>
      <c r="M1" s="173" t="s">
        <v>3</v>
      </c>
      <c r="N1" s="171"/>
      <c r="O1" s="172"/>
    </row>
    <row r="2" spans="1:15" ht="39.950000000000003" customHeight="1">
      <c r="A2" s="5" t="s">
        <v>43</v>
      </c>
      <c r="B2" s="46" t="s">
        <v>32</v>
      </c>
      <c r="C2" s="36" t="s">
        <v>25</v>
      </c>
      <c r="D2" s="31" t="s">
        <v>4</v>
      </c>
      <c r="E2" s="7" t="s">
        <v>18</v>
      </c>
      <c r="F2" s="6" t="s">
        <v>19</v>
      </c>
      <c r="G2" s="2" t="s">
        <v>6</v>
      </c>
      <c r="H2" s="3" t="s">
        <v>5</v>
      </c>
      <c r="I2" s="35" t="s">
        <v>25</v>
      </c>
      <c r="J2" s="1" t="s">
        <v>4</v>
      </c>
      <c r="K2" s="6" t="s">
        <v>20</v>
      </c>
      <c r="L2" s="3" t="s">
        <v>5</v>
      </c>
      <c r="M2" s="1" t="s">
        <v>4</v>
      </c>
      <c r="N2" s="2" t="s">
        <v>6</v>
      </c>
      <c r="O2" s="3" t="s">
        <v>5</v>
      </c>
    </row>
    <row r="3" spans="1:15" ht="39.950000000000003" customHeight="1">
      <c r="A3" s="23" t="s">
        <v>10</v>
      </c>
      <c r="B3" s="86">
        <f>D3/C3</f>
        <v>0.48571428571428571</v>
      </c>
      <c r="C3" s="158">
        <f>SUM(D3:G3)</f>
        <v>70</v>
      </c>
      <c r="D3" s="87">
        <f>7+15+12</f>
        <v>34</v>
      </c>
      <c r="E3" s="87">
        <v>0</v>
      </c>
      <c r="F3" s="88">
        <v>5</v>
      </c>
      <c r="G3" s="88">
        <f>3+7+21</f>
        <v>31</v>
      </c>
      <c r="H3" s="89">
        <v>48</v>
      </c>
      <c r="I3" s="90"/>
      <c r="J3" s="91"/>
      <c r="K3" s="92"/>
      <c r="L3" s="93"/>
      <c r="M3" s="12"/>
      <c r="N3" s="13"/>
      <c r="O3" s="14"/>
    </row>
    <row r="4" spans="1:15" ht="39.950000000000003" customHeight="1">
      <c r="A4" s="24" t="s">
        <v>26</v>
      </c>
      <c r="B4" s="86">
        <f t="shared" ref="B4:B12" si="0">D4/C4</f>
        <v>0.6333333333333333</v>
      </c>
      <c r="C4" s="158">
        <f>SUM(D4:G4)</f>
        <v>30</v>
      </c>
      <c r="D4" s="87">
        <f>15+2+2</f>
        <v>19</v>
      </c>
      <c r="E4" s="87">
        <v>0</v>
      </c>
      <c r="F4" s="88">
        <v>0</v>
      </c>
      <c r="G4" s="88">
        <f>4+6+1</f>
        <v>11</v>
      </c>
      <c r="H4" s="89">
        <v>18</v>
      </c>
      <c r="I4" s="94"/>
      <c r="J4" s="95"/>
      <c r="K4" s="96"/>
      <c r="L4" s="97"/>
      <c r="M4" s="12"/>
      <c r="N4" s="13"/>
      <c r="O4" s="14"/>
    </row>
    <row r="5" spans="1:15" ht="39.950000000000003" customHeight="1">
      <c r="A5" s="24" t="s">
        <v>7</v>
      </c>
      <c r="B5" s="86">
        <f t="shared" si="0"/>
        <v>0.5</v>
      </c>
      <c r="C5" s="158">
        <f>SUM(D5:G5)</f>
        <v>8</v>
      </c>
      <c r="D5" s="87">
        <f>4+0+0</f>
        <v>4</v>
      </c>
      <c r="E5" s="87">
        <v>0</v>
      </c>
      <c r="F5" s="88">
        <v>1</v>
      </c>
      <c r="G5" s="88">
        <f>1+0+2</f>
        <v>3</v>
      </c>
      <c r="H5" s="89">
        <v>4</v>
      </c>
      <c r="I5" s="94"/>
      <c r="J5" s="95"/>
      <c r="K5" s="96"/>
      <c r="L5" s="97"/>
      <c r="M5" s="12"/>
      <c r="N5" s="13"/>
      <c r="O5" s="14"/>
    </row>
    <row r="6" spans="1:15" ht="39.950000000000003" customHeight="1">
      <c r="A6" s="25" t="s">
        <v>8</v>
      </c>
      <c r="B6" s="86">
        <f t="shared" si="0"/>
        <v>0.72727272727272729</v>
      </c>
      <c r="C6" s="158">
        <f>SUM(D6:G6)</f>
        <v>11</v>
      </c>
      <c r="D6" s="87">
        <f>4+1+3</f>
        <v>8</v>
      </c>
      <c r="E6" s="87">
        <v>0</v>
      </c>
      <c r="F6" s="88">
        <v>0</v>
      </c>
      <c r="G6" s="88">
        <f>1+1+1</f>
        <v>3</v>
      </c>
      <c r="H6" s="89">
        <v>12</v>
      </c>
      <c r="I6" s="94"/>
      <c r="J6" s="95"/>
      <c r="K6" s="96"/>
      <c r="L6" s="97"/>
      <c r="M6" s="12"/>
      <c r="N6" s="13"/>
      <c r="O6" s="14"/>
    </row>
    <row r="7" spans="1:15" ht="39.950000000000003" customHeight="1">
      <c r="A7" s="25" t="s">
        <v>30</v>
      </c>
      <c r="B7" s="86">
        <f t="shared" si="0"/>
        <v>0.54621848739495793</v>
      </c>
      <c r="C7" s="158">
        <f t="shared" ref="C7:H7" si="1">SUM(C3:C6)</f>
        <v>119</v>
      </c>
      <c r="D7" s="159">
        <f t="shared" si="1"/>
        <v>65</v>
      </c>
      <c r="E7" s="160">
        <f t="shared" si="1"/>
        <v>0</v>
      </c>
      <c r="F7" s="160">
        <f t="shared" si="1"/>
        <v>6</v>
      </c>
      <c r="G7" s="160">
        <f t="shared" si="1"/>
        <v>48</v>
      </c>
      <c r="H7" s="161">
        <f t="shared" si="1"/>
        <v>82</v>
      </c>
      <c r="I7" s="94"/>
      <c r="J7" s="95"/>
      <c r="K7" s="96"/>
      <c r="L7" s="97"/>
      <c r="M7" s="12"/>
      <c r="N7" s="13"/>
      <c r="O7" s="14"/>
    </row>
    <row r="8" spans="1:15" ht="39.950000000000003" customHeight="1">
      <c r="A8" s="26" t="s">
        <v>12</v>
      </c>
      <c r="B8" s="86"/>
      <c r="C8" s="95"/>
      <c r="D8" s="98"/>
      <c r="E8" s="98"/>
      <c r="F8" s="96"/>
      <c r="G8" s="96"/>
      <c r="H8" s="97"/>
      <c r="I8" s="162">
        <f t="shared" ref="I8:I13" si="2">SUM(J8:K8)</f>
        <v>10</v>
      </c>
      <c r="J8" s="99">
        <f>2+4+1</f>
        <v>7</v>
      </c>
      <c r="K8" s="88">
        <v>3</v>
      </c>
      <c r="L8" s="89">
        <v>64</v>
      </c>
      <c r="M8" s="83"/>
      <c r="N8" s="84"/>
      <c r="O8" s="85"/>
    </row>
    <row r="9" spans="1:15" ht="39.950000000000003" customHeight="1">
      <c r="A9" s="26" t="s">
        <v>13</v>
      </c>
      <c r="B9" s="86"/>
      <c r="C9" s="95"/>
      <c r="D9" s="98"/>
      <c r="E9" s="98"/>
      <c r="F9" s="96"/>
      <c r="G9" s="96"/>
      <c r="H9" s="97"/>
      <c r="I9" s="162">
        <f t="shared" si="2"/>
        <v>7</v>
      </c>
      <c r="J9" s="99">
        <f>3+2+0</f>
        <v>5</v>
      </c>
      <c r="K9" s="88">
        <v>2</v>
      </c>
      <c r="L9" s="89">
        <v>73</v>
      </c>
      <c r="M9" s="83"/>
      <c r="N9" s="84"/>
      <c r="O9" s="85"/>
    </row>
    <row r="10" spans="1:15" ht="39.950000000000003" customHeight="1">
      <c r="A10" s="26" t="s">
        <v>11</v>
      </c>
      <c r="B10" s="86"/>
      <c r="C10" s="95"/>
      <c r="D10" s="98"/>
      <c r="E10" s="98"/>
      <c r="F10" s="96"/>
      <c r="G10" s="96"/>
      <c r="H10" s="97"/>
      <c r="I10" s="162">
        <f>SUM(J10:K10)</f>
        <v>29</v>
      </c>
      <c r="J10" s="99">
        <f>9+10+0</f>
        <v>19</v>
      </c>
      <c r="K10" s="88">
        <v>10</v>
      </c>
      <c r="L10" s="89">
        <f>315</f>
        <v>315</v>
      </c>
      <c r="M10" s="83"/>
      <c r="N10" s="84"/>
      <c r="O10" s="85"/>
    </row>
    <row r="11" spans="1:15" ht="39.950000000000003" customHeight="1">
      <c r="A11" s="26" t="s">
        <v>14</v>
      </c>
      <c r="B11" s="86">
        <f t="shared" si="0"/>
        <v>0.61627906976744184</v>
      </c>
      <c r="C11" s="158">
        <f>SUM(D11:G11)</f>
        <v>86</v>
      </c>
      <c r="D11" s="100">
        <f>20+20+13</f>
        <v>53</v>
      </c>
      <c r="E11" s="100">
        <v>0</v>
      </c>
      <c r="F11" s="100">
        <v>4</v>
      </c>
      <c r="G11" s="100">
        <f>4+8+17</f>
        <v>29</v>
      </c>
      <c r="H11" s="100">
        <v>37</v>
      </c>
      <c r="I11" s="162">
        <f t="shared" si="2"/>
        <v>28</v>
      </c>
      <c r="J11" s="101">
        <v>20</v>
      </c>
      <c r="K11" s="102">
        <v>8</v>
      </c>
      <c r="L11" s="103">
        <v>236</v>
      </c>
      <c r="M11" s="83"/>
      <c r="N11" s="84"/>
      <c r="O11" s="85"/>
    </row>
    <row r="12" spans="1:15" ht="39.950000000000003" customHeight="1">
      <c r="A12" s="26" t="s">
        <v>15</v>
      </c>
      <c r="B12" s="86">
        <f t="shared" si="0"/>
        <v>0.3</v>
      </c>
      <c r="C12" s="158">
        <f>SUM(D12:G12)</f>
        <v>30</v>
      </c>
      <c r="D12" s="100">
        <f>4+4+1</f>
        <v>9</v>
      </c>
      <c r="E12" s="100">
        <v>0</v>
      </c>
      <c r="F12" s="100">
        <v>3</v>
      </c>
      <c r="G12" s="100">
        <f>2+4+12</f>
        <v>18</v>
      </c>
      <c r="H12" s="100">
        <v>15</v>
      </c>
      <c r="I12" s="162">
        <f t="shared" si="2"/>
        <v>6</v>
      </c>
      <c r="J12" s="101">
        <f>4+0+0</f>
        <v>4</v>
      </c>
      <c r="K12" s="102">
        <v>2</v>
      </c>
      <c r="L12" s="103">
        <v>59</v>
      </c>
      <c r="M12" s="83"/>
      <c r="N12" s="84"/>
      <c r="O12" s="85"/>
    </row>
    <row r="13" spans="1:15" ht="39.950000000000003" customHeight="1">
      <c r="A13" s="26" t="s">
        <v>16</v>
      </c>
      <c r="B13" s="104" t="s">
        <v>44</v>
      </c>
      <c r="C13" s="158">
        <f>SUM(D13:G13)</f>
        <v>0</v>
      </c>
      <c r="D13" s="100">
        <v>0</v>
      </c>
      <c r="E13" s="100">
        <v>0</v>
      </c>
      <c r="F13" s="100">
        <v>0</v>
      </c>
      <c r="G13" s="100">
        <v>0</v>
      </c>
      <c r="H13" s="100">
        <v>0</v>
      </c>
      <c r="I13" s="162">
        <f t="shared" si="2"/>
        <v>7</v>
      </c>
      <c r="J13" s="101">
        <f>1+4</f>
        <v>5</v>
      </c>
      <c r="K13" s="102">
        <v>2</v>
      </c>
      <c r="L13" s="103">
        <v>0</v>
      </c>
      <c r="M13" s="83"/>
      <c r="N13" s="84"/>
      <c r="O13" s="85"/>
    </row>
    <row r="14" spans="1:15" ht="39.950000000000003" customHeight="1"/>
    <row r="16" spans="1:15">
      <c r="A16" s="38"/>
      <c r="B16" s="38"/>
    </row>
  </sheetData>
  <mergeCells count="3">
    <mergeCell ref="C1:H1"/>
    <mergeCell ref="J1:L1"/>
    <mergeCell ref="M1:O1"/>
  </mergeCells>
  <pageMargins left="0.31496062992125984" right="0.31496062992125984" top="0.74803149606299213" bottom="0.74803149606299213" header="0.31496062992125984" footer="0.31496062992125984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workbookViewId="0"/>
  </sheetViews>
  <sheetFormatPr baseColWidth="10" defaultColWidth="11.42578125" defaultRowHeight="12.75"/>
  <cols>
    <col min="1" max="1" width="24.7109375" customWidth="1"/>
  </cols>
  <sheetData>
    <row r="1" spans="1:15" ht="39.950000000000003" customHeight="1">
      <c r="A1" s="4" t="s">
        <v>17</v>
      </c>
      <c r="B1" s="4"/>
      <c r="C1" s="173" t="s">
        <v>0</v>
      </c>
      <c r="D1" s="171"/>
      <c r="E1" s="171"/>
      <c r="F1" s="171"/>
      <c r="G1" s="171"/>
      <c r="H1" s="172"/>
      <c r="I1" s="30"/>
      <c r="J1" s="171" t="s">
        <v>2</v>
      </c>
      <c r="K1" s="171"/>
      <c r="L1" s="171"/>
      <c r="M1" s="173" t="s">
        <v>3</v>
      </c>
      <c r="N1" s="171"/>
      <c r="O1" s="172"/>
    </row>
    <row r="2" spans="1:15" ht="39.950000000000003" customHeight="1">
      <c r="A2" s="5" t="s">
        <v>45</v>
      </c>
      <c r="B2" s="46" t="s">
        <v>47</v>
      </c>
      <c r="C2" s="36" t="s">
        <v>25</v>
      </c>
      <c r="D2" s="31" t="s">
        <v>4</v>
      </c>
      <c r="E2" s="7" t="s">
        <v>18</v>
      </c>
      <c r="F2" s="6" t="s">
        <v>19</v>
      </c>
      <c r="G2" s="2" t="s">
        <v>6</v>
      </c>
      <c r="H2" s="3" t="s">
        <v>5</v>
      </c>
      <c r="I2" s="35" t="s">
        <v>25</v>
      </c>
      <c r="J2" s="1" t="s">
        <v>4</v>
      </c>
      <c r="K2" s="6" t="s">
        <v>20</v>
      </c>
      <c r="L2" s="3" t="s">
        <v>5</v>
      </c>
      <c r="M2" s="1" t="s">
        <v>4</v>
      </c>
      <c r="N2" s="2" t="s">
        <v>6</v>
      </c>
      <c r="O2" s="3" t="s">
        <v>5</v>
      </c>
    </row>
    <row r="3" spans="1:15" ht="39.950000000000003" customHeight="1">
      <c r="A3" s="23" t="s">
        <v>10</v>
      </c>
      <c r="B3" s="69">
        <f>D3/C3</f>
        <v>0.42592592592592593</v>
      </c>
      <c r="C3" s="116">
        <f>SUM(D3:G3)</f>
        <v>54</v>
      </c>
      <c r="D3" s="9">
        <v>23</v>
      </c>
      <c r="E3" s="9">
        <v>0</v>
      </c>
      <c r="F3" s="10">
        <v>8</v>
      </c>
      <c r="G3" s="10">
        <v>23</v>
      </c>
      <c r="H3" s="11">
        <v>104</v>
      </c>
      <c r="I3" s="34"/>
      <c r="J3" s="12"/>
      <c r="K3" s="13"/>
      <c r="L3" s="14"/>
      <c r="M3" s="66"/>
      <c r="N3" s="67"/>
      <c r="O3" s="68"/>
    </row>
    <row r="4" spans="1:15" ht="39.950000000000003" customHeight="1">
      <c r="A4" s="24" t="s">
        <v>26</v>
      </c>
      <c r="B4" s="69">
        <f>D4/C4</f>
        <v>0.61538461538461542</v>
      </c>
      <c r="C4" s="116">
        <f t="shared" ref="C4:C13" si="0">SUM(D4:G4)</f>
        <v>26</v>
      </c>
      <c r="D4" s="9">
        <v>16</v>
      </c>
      <c r="E4" s="9">
        <v>1</v>
      </c>
      <c r="F4" s="10">
        <v>2</v>
      </c>
      <c r="G4" s="10">
        <v>7</v>
      </c>
      <c r="H4" s="11">
        <v>30</v>
      </c>
      <c r="I4" s="34"/>
      <c r="J4" s="12"/>
      <c r="K4" s="13"/>
      <c r="L4" s="14"/>
      <c r="M4" s="66"/>
      <c r="N4" s="67"/>
      <c r="O4" s="68"/>
    </row>
    <row r="5" spans="1:15" ht="39.950000000000003" customHeight="1">
      <c r="A5" s="24" t="s">
        <v>7</v>
      </c>
      <c r="B5" s="69">
        <f>D5/C5</f>
        <v>0.2</v>
      </c>
      <c r="C5" s="116">
        <f t="shared" si="0"/>
        <v>5</v>
      </c>
      <c r="D5" s="9">
        <v>1</v>
      </c>
      <c r="E5" s="9">
        <v>0</v>
      </c>
      <c r="F5" s="10">
        <v>2</v>
      </c>
      <c r="G5" s="10">
        <v>2</v>
      </c>
      <c r="H5" s="11">
        <v>9</v>
      </c>
      <c r="I5" s="34"/>
      <c r="J5" s="12"/>
      <c r="K5" s="13"/>
      <c r="L5" s="14"/>
      <c r="M5" s="66"/>
      <c r="N5" s="67"/>
      <c r="O5" s="68"/>
    </row>
    <row r="6" spans="1:15" ht="39.950000000000003" customHeight="1">
      <c r="A6" s="25" t="s">
        <v>8</v>
      </c>
      <c r="B6" s="69">
        <f>D6/C6</f>
        <v>0.61538461538461542</v>
      </c>
      <c r="C6" s="116">
        <f t="shared" si="0"/>
        <v>13</v>
      </c>
      <c r="D6" s="9">
        <v>8</v>
      </c>
      <c r="E6" s="9">
        <v>1</v>
      </c>
      <c r="F6" s="10">
        <v>1</v>
      </c>
      <c r="G6" s="10">
        <v>3</v>
      </c>
      <c r="H6" s="11">
        <v>24</v>
      </c>
      <c r="I6" s="34"/>
      <c r="J6" s="12"/>
      <c r="K6" s="13"/>
      <c r="L6" s="14"/>
      <c r="M6" s="66"/>
      <c r="N6" s="67"/>
      <c r="O6" s="68"/>
    </row>
    <row r="7" spans="1:15" ht="39.950000000000003" customHeight="1">
      <c r="A7" s="25" t="s">
        <v>30</v>
      </c>
      <c r="B7" s="70">
        <f>D7/C7</f>
        <v>0.48979591836734693</v>
      </c>
      <c r="C7" s="116">
        <f t="shared" ref="C7:H7" si="1">SUM(C3:C6)</f>
        <v>98</v>
      </c>
      <c r="D7" s="117">
        <f t="shared" si="1"/>
        <v>48</v>
      </c>
      <c r="E7" s="117">
        <f t="shared" si="1"/>
        <v>2</v>
      </c>
      <c r="F7" s="117">
        <f t="shared" si="1"/>
        <v>13</v>
      </c>
      <c r="G7" s="117">
        <f t="shared" si="1"/>
        <v>35</v>
      </c>
      <c r="H7" s="118">
        <f t="shared" si="1"/>
        <v>167</v>
      </c>
      <c r="I7" s="34"/>
      <c r="J7" s="12"/>
      <c r="K7" s="13"/>
      <c r="L7" s="14"/>
      <c r="M7" s="66"/>
      <c r="N7" s="67"/>
      <c r="O7" s="68"/>
    </row>
    <row r="8" spans="1:15" ht="39.950000000000003" customHeight="1">
      <c r="A8" s="26" t="s">
        <v>12</v>
      </c>
      <c r="B8" s="71"/>
      <c r="C8" s="12"/>
      <c r="D8" s="18"/>
      <c r="E8" s="18"/>
      <c r="F8" s="13"/>
      <c r="G8" s="13"/>
      <c r="H8" s="14"/>
      <c r="I8" s="119">
        <f t="shared" ref="I8:I13" si="2">SUM(J8:K8)</f>
        <v>7</v>
      </c>
      <c r="J8" s="8">
        <v>4</v>
      </c>
      <c r="K8" s="10">
        <v>3</v>
      </c>
      <c r="L8" s="11">
        <v>63</v>
      </c>
      <c r="M8" s="80"/>
      <c r="N8" s="81"/>
      <c r="O8" s="82"/>
    </row>
    <row r="9" spans="1:15" ht="39.950000000000003" customHeight="1">
      <c r="A9" s="26" t="s">
        <v>13</v>
      </c>
      <c r="B9" s="71"/>
      <c r="C9" s="12"/>
      <c r="D9" s="18"/>
      <c r="E9" s="18"/>
      <c r="F9" s="13"/>
      <c r="G9" s="13"/>
      <c r="H9" s="14"/>
      <c r="I9" s="119">
        <f t="shared" si="2"/>
        <v>7</v>
      </c>
      <c r="J9" s="8">
        <v>5</v>
      </c>
      <c r="K9" s="10">
        <v>2</v>
      </c>
      <c r="L9" s="11">
        <v>87</v>
      </c>
      <c r="M9" s="80"/>
      <c r="N9" s="81"/>
      <c r="O9" s="82"/>
    </row>
    <row r="10" spans="1:15" ht="39.950000000000003" customHeight="1">
      <c r="A10" s="26" t="s">
        <v>11</v>
      </c>
      <c r="B10" s="71"/>
      <c r="C10" s="12"/>
      <c r="D10" s="18"/>
      <c r="E10" s="18"/>
      <c r="F10" s="13"/>
      <c r="G10" s="13"/>
      <c r="H10" s="14"/>
      <c r="I10" s="119">
        <f>SUM(J10:K10)</f>
        <v>25</v>
      </c>
      <c r="J10" s="8">
        <v>9</v>
      </c>
      <c r="K10" s="10">
        <v>16</v>
      </c>
      <c r="L10" s="11">
        <v>280</v>
      </c>
      <c r="M10" s="80"/>
      <c r="N10" s="81"/>
      <c r="O10" s="82"/>
    </row>
    <row r="11" spans="1:15" ht="39.950000000000003" customHeight="1">
      <c r="A11" s="26" t="s">
        <v>14</v>
      </c>
      <c r="B11" s="70">
        <f>D11/C11</f>
        <v>0.35555555555555557</v>
      </c>
      <c r="C11" s="116">
        <f t="shared" si="0"/>
        <v>45</v>
      </c>
      <c r="D11" s="20">
        <v>16</v>
      </c>
      <c r="E11" s="20">
        <v>1</v>
      </c>
      <c r="F11" s="21">
        <v>2</v>
      </c>
      <c r="G11" s="21">
        <v>26</v>
      </c>
      <c r="H11" s="22">
        <v>133</v>
      </c>
      <c r="I11" s="119">
        <f t="shared" si="2"/>
        <v>10</v>
      </c>
      <c r="J11" s="19">
        <v>5</v>
      </c>
      <c r="K11" s="21">
        <v>5</v>
      </c>
      <c r="L11" s="22">
        <v>273</v>
      </c>
      <c r="M11" s="80"/>
      <c r="N11" s="81"/>
      <c r="O11" s="82"/>
    </row>
    <row r="12" spans="1:15" ht="39.950000000000003" customHeight="1">
      <c r="A12" s="26" t="s">
        <v>15</v>
      </c>
      <c r="B12" s="69">
        <f>D12/C12</f>
        <v>0.34375</v>
      </c>
      <c r="C12" s="116">
        <f t="shared" si="0"/>
        <v>32</v>
      </c>
      <c r="D12" s="20">
        <v>11</v>
      </c>
      <c r="E12" s="20">
        <v>0</v>
      </c>
      <c r="F12" s="21">
        <v>2</v>
      </c>
      <c r="G12" s="21">
        <v>19</v>
      </c>
      <c r="H12" s="22">
        <v>66</v>
      </c>
      <c r="I12" s="119">
        <f t="shared" si="2"/>
        <v>12</v>
      </c>
      <c r="J12" s="19">
        <v>7</v>
      </c>
      <c r="K12" s="21">
        <v>5</v>
      </c>
      <c r="L12" s="22">
        <v>70</v>
      </c>
      <c r="M12" s="80"/>
      <c r="N12" s="81"/>
      <c r="O12" s="82"/>
    </row>
    <row r="13" spans="1:15" ht="39.950000000000003" hidden="1" customHeight="1">
      <c r="A13" s="26" t="s">
        <v>16</v>
      </c>
      <c r="B13" s="69">
        <f>D13/C13</f>
        <v>1</v>
      </c>
      <c r="C13" s="105">
        <f t="shared" si="0"/>
        <v>1</v>
      </c>
      <c r="D13" s="20">
        <v>1</v>
      </c>
      <c r="E13" s="20">
        <v>0</v>
      </c>
      <c r="F13" s="21">
        <v>0</v>
      </c>
      <c r="G13" s="21">
        <v>0</v>
      </c>
      <c r="H13" s="22">
        <v>0</v>
      </c>
      <c r="I13" s="106">
        <f t="shared" si="2"/>
        <v>1</v>
      </c>
      <c r="J13" s="19">
        <v>1</v>
      </c>
      <c r="K13" s="21">
        <v>0</v>
      </c>
      <c r="L13" s="22">
        <v>0</v>
      </c>
      <c r="M13" s="80"/>
      <c r="N13" s="81"/>
      <c r="O13" s="82"/>
    </row>
  </sheetData>
  <mergeCells count="3">
    <mergeCell ref="C1:H1"/>
    <mergeCell ref="J1:L1"/>
    <mergeCell ref="M1:O1"/>
  </mergeCells>
  <pageMargins left="0.31496062992125984" right="0.31496062992125984" top="0.55118110236220474" bottom="0.35433070866141736" header="0.31496062992125984" footer="0.31496062992125984"/>
  <pageSetup paperSize="9"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workbookViewId="0">
      <pane ySplit="2" topLeftCell="A3" activePane="bottomLeft" state="frozen"/>
      <selection pane="bottomLeft" activeCell="F3" sqref="F3"/>
    </sheetView>
  </sheetViews>
  <sheetFormatPr baseColWidth="10" defaultColWidth="11.42578125" defaultRowHeight="12.75"/>
  <cols>
    <col min="1" max="1" width="24.7109375" customWidth="1"/>
  </cols>
  <sheetData>
    <row r="1" spans="1:15" ht="39.950000000000003" customHeight="1">
      <c r="A1" s="4" t="s">
        <v>17</v>
      </c>
      <c r="B1" s="4"/>
      <c r="C1" s="173" t="s">
        <v>0</v>
      </c>
      <c r="D1" s="171"/>
      <c r="E1" s="171"/>
      <c r="F1" s="171"/>
      <c r="G1" s="171"/>
      <c r="H1" s="172"/>
      <c r="I1" s="30"/>
      <c r="J1" s="171" t="s">
        <v>2</v>
      </c>
      <c r="K1" s="171"/>
      <c r="L1" s="171"/>
      <c r="M1" s="173" t="s">
        <v>3</v>
      </c>
      <c r="N1" s="171"/>
      <c r="O1" s="172"/>
    </row>
    <row r="2" spans="1:15" ht="39.950000000000003" customHeight="1">
      <c r="A2" s="5" t="s">
        <v>46</v>
      </c>
      <c r="B2" s="46" t="s">
        <v>32</v>
      </c>
      <c r="C2" s="36" t="s">
        <v>25</v>
      </c>
      <c r="D2" s="31" t="s">
        <v>4</v>
      </c>
      <c r="E2" s="7" t="s">
        <v>18</v>
      </c>
      <c r="F2" s="6" t="s">
        <v>19</v>
      </c>
      <c r="G2" s="2" t="s">
        <v>6</v>
      </c>
      <c r="H2" s="3" t="s">
        <v>5</v>
      </c>
      <c r="I2" s="35" t="s">
        <v>25</v>
      </c>
      <c r="J2" s="1" t="s">
        <v>4</v>
      </c>
      <c r="K2" s="6" t="s">
        <v>20</v>
      </c>
      <c r="L2" s="3" t="s">
        <v>5</v>
      </c>
      <c r="M2" s="1" t="s">
        <v>4</v>
      </c>
      <c r="N2" s="2" t="s">
        <v>6</v>
      </c>
      <c r="O2" s="3" t="s">
        <v>5</v>
      </c>
    </row>
    <row r="3" spans="1:15" ht="50.1" customHeight="1">
      <c r="A3" s="120" t="s">
        <v>10</v>
      </c>
      <c r="B3" s="121">
        <f>D3/C3</f>
        <v>0.36363636363636365</v>
      </c>
      <c r="C3" s="122">
        <f>SUM(D3:G3)</f>
        <v>99</v>
      </c>
      <c r="D3" s="123">
        <f>15+8+13</f>
        <v>36</v>
      </c>
      <c r="E3" s="123">
        <v>14</v>
      </c>
      <c r="F3" s="124">
        <v>24</v>
      </c>
      <c r="G3" s="124">
        <f>2+3+20</f>
        <v>25</v>
      </c>
      <c r="H3" s="125">
        <v>35</v>
      </c>
      <c r="I3" s="126"/>
      <c r="J3" s="127"/>
      <c r="K3" s="128"/>
      <c r="L3" s="129"/>
      <c r="M3" s="130"/>
      <c r="N3" s="131"/>
      <c r="O3" s="132"/>
    </row>
    <row r="4" spans="1:15" ht="50.1" customHeight="1">
      <c r="A4" s="133" t="s">
        <v>26</v>
      </c>
      <c r="B4" s="121">
        <f t="shared" ref="B4:B12" si="0">D4/C4</f>
        <v>0.45945945945945948</v>
      </c>
      <c r="C4" s="122">
        <f>SUM(D4:G4)</f>
        <v>37</v>
      </c>
      <c r="D4" s="123">
        <f>11+6+0</f>
        <v>17</v>
      </c>
      <c r="E4" s="123">
        <v>7</v>
      </c>
      <c r="F4" s="124">
        <v>4</v>
      </c>
      <c r="G4" s="124">
        <f>0+2+7</f>
        <v>9</v>
      </c>
      <c r="H4" s="125">
        <f>18</f>
        <v>18</v>
      </c>
      <c r="I4" s="134"/>
      <c r="J4" s="135"/>
      <c r="K4" s="136"/>
      <c r="L4" s="137"/>
      <c r="M4" s="130"/>
      <c r="N4" s="131"/>
      <c r="O4" s="132"/>
    </row>
    <row r="5" spans="1:15" ht="50.1" customHeight="1">
      <c r="A5" s="133" t="s">
        <v>7</v>
      </c>
      <c r="B5" s="121">
        <f t="shared" si="0"/>
        <v>0.46666666666666667</v>
      </c>
      <c r="C5" s="122">
        <f>SUM(D5:G5)</f>
        <v>15</v>
      </c>
      <c r="D5" s="123">
        <f>6+1+0</f>
        <v>7</v>
      </c>
      <c r="E5" s="123">
        <v>1</v>
      </c>
      <c r="F5" s="124">
        <v>4</v>
      </c>
      <c r="G5" s="124">
        <f>0+0+3</f>
        <v>3</v>
      </c>
      <c r="H5" s="125">
        <v>2</v>
      </c>
      <c r="I5" s="134"/>
      <c r="J5" s="135"/>
      <c r="K5" s="136"/>
      <c r="L5" s="137"/>
      <c r="M5" s="130"/>
      <c r="N5" s="131"/>
      <c r="O5" s="132"/>
    </row>
    <row r="6" spans="1:15" ht="50.1" customHeight="1">
      <c r="A6" s="138" t="s">
        <v>8</v>
      </c>
      <c r="B6" s="121">
        <f t="shared" si="0"/>
        <v>0.12698412698412698</v>
      </c>
      <c r="C6" s="122">
        <f>SUM(D6:G6)</f>
        <v>63</v>
      </c>
      <c r="D6" s="123">
        <f>5+1+2</f>
        <v>8</v>
      </c>
      <c r="E6" s="123">
        <v>5</v>
      </c>
      <c r="F6" s="124">
        <v>42</v>
      </c>
      <c r="G6" s="124">
        <f>1+1+6</f>
        <v>8</v>
      </c>
      <c r="H6" s="125">
        <v>9</v>
      </c>
      <c r="I6" s="134"/>
      <c r="J6" s="135"/>
      <c r="K6" s="136"/>
      <c r="L6" s="137"/>
      <c r="M6" s="130"/>
      <c r="N6" s="131"/>
      <c r="O6" s="132"/>
    </row>
    <row r="7" spans="1:15" ht="50.1" customHeight="1">
      <c r="A7" s="138" t="s">
        <v>30</v>
      </c>
      <c r="B7" s="121">
        <f t="shared" si="0"/>
        <v>0.31775700934579437</v>
      </c>
      <c r="C7" s="122">
        <f t="shared" ref="C7:H7" si="1">SUM(C3:C6)</f>
        <v>214</v>
      </c>
      <c r="D7" s="139">
        <f t="shared" si="1"/>
        <v>68</v>
      </c>
      <c r="E7" s="140">
        <f t="shared" si="1"/>
        <v>27</v>
      </c>
      <c r="F7" s="140">
        <f t="shared" si="1"/>
        <v>74</v>
      </c>
      <c r="G7" s="140">
        <f t="shared" si="1"/>
        <v>45</v>
      </c>
      <c r="H7" s="141">
        <f t="shared" si="1"/>
        <v>64</v>
      </c>
      <c r="I7" s="134"/>
      <c r="J7" s="135"/>
      <c r="K7" s="136"/>
      <c r="L7" s="137"/>
      <c r="M7" s="130"/>
      <c r="N7" s="131"/>
      <c r="O7" s="132"/>
    </row>
    <row r="8" spans="1:15" ht="50.1" customHeight="1">
      <c r="A8" s="142" t="s">
        <v>12</v>
      </c>
      <c r="B8" s="121"/>
      <c r="C8" s="135"/>
      <c r="D8" s="143"/>
      <c r="E8" s="143"/>
      <c r="F8" s="136"/>
      <c r="G8" s="136"/>
      <c r="H8" s="137"/>
      <c r="I8" s="144">
        <f t="shared" ref="I8:I13" si="2">SUM(J8:K8)</f>
        <v>18</v>
      </c>
      <c r="J8" s="145">
        <f>8+3+2</f>
        <v>13</v>
      </c>
      <c r="K8" s="124">
        <f>4+1</f>
        <v>5</v>
      </c>
      <c r="L8" s="125">
        <v>57</v>
      </c>
      <c r="M8" s="146"/>
      <c r="N8" s="147"/>
      <c r="O8" s="148"/>
    </row>
    <row r="9" spans="1:15" ht="50.1" customHeight="1">
      <c r="A9" s="142" t="s">
        <v>13</v>
      </c>
      <c r="B9" s="121"/>
      <c r="C9" s="135"/>
      <c r="D9" s="143"/>
      <c r="E9" s="143"/>
      <c r="F9" s="136"/>
      <c r="G9" s="136"/>
      <c r="H9" s="137"/>
      <c r="I9" s="144">
        <f t="shared" si="2"/>
        <v>13</v>
      </c>
      <c r="J9" s="145">
        <f>4+4+1</f>
        <v>9</v>
      </c>
      <c r="K9" s="124">
        <f>3+1</f>
        <v>4</v>
      </c>
      <c r="L9" s="125">
        <v>88</v>
      </c>
      <c r="M9" s="146"/>
      <c r="N9" s="147"/>
      <c r="O9" s="148"/>
    </row>
    <row r="10" spans="1:15" ht="50.1" customHeight="1">
      <c r="A10" s="142" t="s">
        <v>11</v>
      </c>
      <c r="B10" s="121"/>
      <c r="C10" s="135"/>
      <c r="D10" s="143"/>
      <c r="E10" s="143"/>
      <c r="F10" s="136"/>
      <c r="G10" s="136"/>
      <c r="H10" s="137"/>
      <c r="I10" s="144">
        <f>SUM(J10:K10)</f>
        <v>13</v>
      </c>
      <c r="J10" s="145">
        <f>7+3+0</f>
        <v>10</v>
      </c>
      <c r="K10" s="124">
        <f>0+3</f>
        <v>3</v>
      </c>
      <c r="L10" s="125">
        <v>269</v>
      </c>
      <c r="M10" s="146"/>
      <c r="N10" s="147"/>
      <c r="O10" s="148"/>
    </row>
    <row r="11" spans="1:15" ht="50.1" customHeight="1">
      <c r="A11" s="142" t="s">
        <v>14</v>
      </c>
      <c r="B11" s="121">
        <f t="shared" si="0"/>
        <v>0.52898550724637683</v>
      </c>
      <c r="C11" s="122">
        <f>SUM(D11:G11)</f>
        <v>138</v>
      </c>
      <c r="D11" s="149">
        <f>24+23+26</f>
        <v>73</v>
      </c>
      <c r="E11" s="149">
        <v>12</v>
      </c>
      <c r="F11" s="149">
        <v>12</v>
      </c>
      <c r="G11" s="149">
        <f>5+12+24</f>
        <v>41</v>
      </c>
      <c r="H11" s="149">
        <v>25</v>
      </c>
      <c r="I11" s="144">
        <f t="shared" si="2"/>
        <v>48</v>
      </c>
      <c r="J11" s="150">
        <f>16+13+0</f>
        <v>29</v>
      </c>
      <c r="K11" s="151">
        <f>18+1</f>
        <v>19</v>
      </c>
      <c r="L11" s="152">
        <v>222</v>
      </c>
      <c r="M11" s="146"/>
      <c r="N11" s="147"/>
      <c r="O11" s="148"/>
    </row>
    <row r="12" spans="1:15" ht="50.1" customHeight="1">
      <c r="A12" s="142" t="s">
        <v>15</v>
      </c>
      <c r="B12" s="121">
        <f t="shared" si="0"/>
        <v>0.21739130434782608</v>
      </c>
      <c r="C12" s="122">
        <f>SUM(D12:G12)</f>
        <v>69</v>
      </c>
      <c r="D12" s="149">
        <f>11+1+3</f>
        <v>15</v>
      </c>
      <c r="E12" s="149">
        <v>11</v>
      </c>
      <c r="F12" s="149">
        <v>16</v>
      </c>
      <c r="G12" s="149">
        <f>6+7+14</f>
        <v>27</v>
      </c>
      <c r="H12" s="149">
        <v>21</v>
      </c>
      <c r="I12" s="144">
        <f t="shared" si="2"/>
        <v>8</v>
      </c>
      <c r="J12" s="150">
        <f>2+1+3</f>
        <v>6</v>
      </c>
      <c r="K12" s="151">
        <f>1+1</f>
        <v>2</v>
      </c>
      <c r="L12" s="152">
        <v>59</v>
      </c>
      <c r="M12" s="146"/>
      <c r="N12" s="147"/>
      <c r="O12" s="148"/>
    </row>
    <row r="13" spans="1:15" ht="39.950000000000003" hidden="1" customHeight="1">
      <c r="A13" s="26" t="s">
        <v>16</v>
      </c>
      <c r="B13" s="104" t="s">
        <v>44</v>
      </c>
      <c r="C13" s="107">
        <f>SUM(D13:G13)</f>
        <v>1</v>
      </c>
      <c r="D13" s="100">
        <v>1</v>
      </c>
      <c r="E13" s="100">
        <v>0</v>
      </c>
      <c r="F13" s="100">
        <v>0</v>
      </c>
      <c r="G13" s="100">
        <v>0</v>
      </c>
      <c r="H13" s="100">
        <v>0</v>
      </c>
      <c r="I13" s="108">
        <f t="shared" si="2"/>
        <v>0</v>
      </c>
      <c r="J13" s="101">
        <v>0</v>
      </c>
      <c r="K13" s="102">
        <v>0</v>
      </c>
      <c r="L13" s="103">
        <v>0</v>
      </c>
      <c r="M13" s="83"/>
      <c r="N13" s="84"/>
      <c r="O13" s="85"/>
    </row>
    <row r="16" spans="1:15">
      <c r="A16" s="38"/>
      <c r="B16" s="38"/>
    </row>
  </sheetData>
  <mergeCells count="3">
    <mergeCell ref="C1:H1"/>
    <mergeCell ref="J1:L1"/>
    <mergeCell ref="M1:O1"/>
  </mergeCells>
  <pageMargins left="0.51181102362204722" right="0.31496062992125984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11</vt:i4>
      </vt:variant>
    </vt:vector>
  </HeadingPairs>
  <TitlesOfParts>
    <vt:vector size="27" baseType="lpstr">
      <vt:lpstr>Graus 2013 juny</vt:lpstr>
      <vt:lpstr>Graus 2014 febrer</vt:lpstr>
      <vt:lpstr>Graus 2014 juliol</vt:lpstr>
      <vt:lpstr>Graus 2015 gener</vt:lpstr>
      <vt:lpstr>Graus 2015 juliol</vt:lpstr>
      <vt:lpstr>Graus 2016 febrer</vt:lpstr>
      <vt:lpstr>Graus juliol 2016</vt:lpstr>
      <vt:lpstr>Graus febrer 2017</vt:lpstr>
      <vt:lpstr>Graus juliol 2017</vt:lpstr>
      <vt:lpstr>Graus febrer 2018</vt:lpstr>
      <vt:lpstr>Graus juliol 2018</vt:lpstr>
      <vt:lpstr>Historic FI - Q1 i Q2</vt:lpstr>
      <vt:lpstr>Historic Fi - Q1</vt:lpstr>
      <vt:lpstr>Historic FI -Q2</vt:lpstr>
      <vt:lpstr>Hoja1</vt:lpstr>
      <vt:lpstr>Hoja2</vt:lpstr>
      <vt:lpstr>'Graus 2013 juny'!Área_de_impresión</vt:lpstr>
      <vt:lpstr>'Graus 2015 gener'!Área_de_impresión</vt:lpstr>
      <vt:lpstr>'Graus 2016 febrer'!Área_de_impresión</vt:lpstr>
      <vt:lpstr>'Graus febrer 2017'!Área_de_impresión</vt:lpstr>
      <vt:lpstr>'Graus febrer 2018'!Área_de_impresión</vt:lpstr>
      <vt:lpstr>'Graus juliol 2016'!Área_de_impresión</vt:lpstr>
      <vt:lpstr>'Graus juliol 2017'!Área_de_impresión</vt:lpstr>
      <vt:lpstr>'Graus juliol 2018'!Área_de_impresión</vt:lpstr>
      <vt:lpstr>'Historic Fi - Q1'!Área_de_impresión</vt:lpstr>
      <vt:lpstr>'Historic FI - Q1 i Q2'!Área_de_impresión</vt:lpstr>
      <vt:lpstr>'Historic FI -Q2'!Área_de_impresión</vt:lpstr>
    </vt:vector>
  </TitlesOfParts>
  <Company>UPC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Roman</dc:creator>
  <cp:lastModifiedBy>usuario</cp:lastModifiedBy>
  <cp:lastPrinted>2018-07-04T18:24:46Z</cp:lastPrinted>
  <dcterms:created xsi:type="dcterms:W3CDTF">2013-07-09T18:41:28Z</dcterms:created>
  <dcterms:modified xsi:type="dcterms:W3CDTF">2018-07-04T18:25:51Z</dcterms:modified>
</cp:coreProperties>
</file>